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4470D2CD-2249-CD33-4A35-6F278624656F}"/>
  <workbookPr codeName="DieseArbeitsmappe" defaultThemeVersion="124226"/>
  <bookViews>
    <workbookView xWindow="-120" yWindow="-120" windowWidth="19420" windowHeight="11020" tabRatio="766"/>
  </bookViews>
  <sheets>
    <sheet name="Ermittlung Schneelast" sheetId="1" r:id="rId1"/>
    <sheet name="Bemessungstabelle isoliert" sheetId="3" r:id="rId2"/>
    <sheet name="Satteldach isoliert" sheetId="6" r:id="rId3"/>
    <sheet name="Bemessungstabelle unisoliert" sheetId="4" r:id="rId4"/>
    <sheet name="Satteldach unisoliert" sheetId="7" r:id="rId5"/>
    <sheet name="Daten" sheetId="2" r:id="rId6"/>
    <sheet name="Info" sheetId="8" r:id="rId7"/>
    <sheet name="Statiktabellen" sheetId="5" state="hidden" r:id="rId8"/>
  </sheets>
  <definedNames>
    <definedName name="__my1">'Ermittlung Schneelast'!#REF!</definedName>
    <definedName name="_b1" comment="Tiefe des vorh. Gebäudes b1">'Ermittlung Schneelast'!$D$24</definedName>
    <definedName name="_b2" localSheetId="0">'Ermittlung Schneelast'!$D$19</definedName>
    <definedName name="_b2">'Ermittlung Schneelast'!$D$19</definedName>
    <definedName name="_bs" comment="Tiefe der Dachfläche des vorh. Gebäudes bS">'Ermittlung Schneelast'!$D$25</definedName>
    <definedName name="_xlnm._FilterDatabase" localSheetId="3" hidden="1">'Bemessungstabelle unisoliert'!$M$2:$Z$22</definedName>
    <definedName name="_h" comment="mittlerer Höhenversprung h">'Ermittlung Schneelast'!$D$22</definedName>
    <definedName name="_my1">'Ermittlung Schneelast'!#REF!</definedName>
    <definedName name="_s1">'Ermittlung Schneelast'!#REF!</definedName>
    <definedName name="_s1a">'Ermittlung Schneelast'!#REF!</definedName>
    <definedName name="_x" comment="Dachneigung des vorh. Gebäudes x">'Ermittlung Schneelast'!$D$26</definedName>
    <definedName name="_xlnm.Print_Area" localSheetId="1">'Bemessungstabelle isoliert'!$A$1:$E$47</definedName>
    <definedName name="_xlnm.Print_Area" localSheetId="3">'Bemessungstabelle unisoliert'!$A$1:$E$47</definedName>
    <definedName name="_xlnm.Print_Area" localSheetId="5">Daten!$H$1:$M$11</definedName>
    <definedName name="_xlnm.Print_Area" localSheetId="2">'Satteldach isoliert'!$A$1:$F$39</definedName>
    <definedName name="_xlnm.Print_Area" localSheetId="4">'Satteldach unisoliert'!$A$1:$F$39</definedName>
    <definedName name="_xlnm.Print_Area" localSheetId="7">Statiktabellen!$A$1:$AC$39,Statiktabellen!$AD$1:$AJ$17</definedName>
    <definedName name="ls">'Ermittlung Schneelast'!$D$31</definedName>
    <definedName name="my1a">'Ermittlung Schneelast'!#REF!</definedName>
    <definedName name="my2a">'Ermittlung Schneelast'!#REF!</definedName>
    <definedName name="mys">'Ermittlung Schneelast'!#REF!</definedName>
    <definedName name="myw">'Ermittlung Schneelast'!#REF!</definedName>
    <definedName name="sa">'Ermittlung Schneelast'!#REF!</definedName>
    <definedName name="sDa">'Ermittlung Schneelast'!#REF!</definedName>
    <definedName name="sk">'Ermittlung Schneelast'!$I$12</definedName>
    <definedName name="so">'Ermittlung Schneelast'!#REF!</definedName>
    <definedName name="soa">'Ermittlung Schneelast'!#REF!</definedName>
    <definedName name="su">'Ermittlung Schneelast'!#REF!</definedName>
    <definedName name="sua">'Ermittlung Schneelast'!#REF!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V66" i="4" l="1"/>
  <c r="BV65" i="4"/>
  <c r="BS69" i="4"/>
  <c r="AP69" i="4"/>
  <c r="AS66" i="4"/>
  <c r="AQ66" i="4" s="1"/>
  <c r="AS65" i="4"/>
  <c r="M69" i="4"/>
  <c r="P66" i="4"/>
  <c r="P65" i="4"/>
  <c r="BT66" i="4" l="1"/>
  <c r="BT65" i="4"/>
  <c r="AQ65" i="4"/>
  <c r="N66" i="4"/>
  <c r="N65" i="4"/>
  <c r="AN97" i="3"/>
  <c r="M99" i="3"/>
  <c r="AN80" i="3"/>
  <c r="BO79" i="3"/>
  <c r="M80" i="3"/>
  <c r="BT40" i="4" l="1"/>
  <c r="BT39" i="4"/>
  <c r="BT38" i="4"/>
  <c r="CF40" i="4"/>
  <c r="CD40" i="4"/>
  <c r="CB40" i="4"/>
  <c r="BZ40" i="4"/>
  <c r="BX40" i="4"/>
  <c r="BV40" i="4"/>
  <c r="CF39" i="4"/>
  <c r="CD39" i="4"/>
  <c r="CB39" i="4"/>
  <c r="BZ39" i="4"/>
  <c r="BX39" i="4"/>
  <c r="BV39" i="4"/>
  <c r="CF38" i="4"/>
  <c r="CD38" i="4"/>
  <c r="CB38" i="4"/>
  <c r="BZ38" i="4"/>
  <c r="BX38" i="4"/>
  <c r="BV38" i="4"/>
  <c r="BA40" i="4"/>
  <c r="AQ40" i="4"/>
  <c r="AQ39" i="4"/>
  <c r="AQ38" i="4"/>
  <c r="BC40" i="4"/>
  <c r="AY40" i="4"/>
  <c r="AW40" i="4"/>
  <c r="AU40" i="4"/>
  <c r="AS40" i="4"/>
  <c r="BC39" i="4"/>
  <c r="BA39" i="4"/>
  <c r="AY39" i="4"/>
  <c r="AW39" i="4"/>
  <c r="AU39" i="4"/>
  <c r="AS39" i="4"/>
  <c r="BC38" i="4"/>
  <c r="BA38" i="4"/>
  <c r="AY38" i="4"/>
  <c r="AW38" i="4"/>
  <c r="AU38" i="4"/>
  <c r="AS38" i="4"/>
  <c r="N38" i="4"/>
  <c r="N41" i="4"/>
  <c r="N40" i="4"/>
  <c r="N39" i="4"/>
  <c r="Z40" i="4"/>
  <c r="X40" i="4"/>
  <c r="V40" i="4"/>
  <c r="T40" i="4"/>
  <c r="R40" i="4"/>
  <c r="P40" i="4"/>
  <c r="Z39" i="4"/>
  <c r="X39" i="4"/>
  <c r="V39" i="4"/>
  <c r="T39" i="4"/>
  <c r="R39" i="4"/>
  <c r="P39" i="4"/>
  <c r="Z38" i="4"/>
  <c r="X38" i="4"/>
  <c r="V38" i="4"/>
  <c r="T38" i="4"/>
  <c r="R38" i="4"/>
  <c r="P38" i="4"/>
  <c r="BV59" i="4" l="1"/>
  <c r="BT59" i="4" s="1"/>
  <c r="AS59" i="4"/>
  <c r="AQ59" i="4" s="1"/>
  <c r="P59" i="4"/>
  <c r="N59" i="4" s="1"/>
  <c r="BR54" i="3" l="1"/>
  <c r="BP54" i="3"/>
  <c r="BR53" i="3"/>
  <c r="BP53" i="3" s="1"/>
  <c r="AQ54" i="3"/>
  <c r="AQ53" i="3"/>
  <c r="P54" i="3"/>
  <c r="N54" i="3" s="1"/>
  <c r="P53" i="3"/>
  <c r="M59" i="3"/>
  <c r="AO54" i="3" l="1"/>
  <c r="AO53" i="3"/>
  <c r="N53" i="3"/>
  <c r="AP28" i="4"/>
  <c r="AP53" i="4"/>
  <c r="M53" i="4"/>
  <c r="M28" i="4"/>
  <c r="BS53" i="4"/>
  <c r="D8" i="4" l="1"/>
  <c r="D8" i="3"/>
  <c r="I20" i="1" l="1"/>
  <c r="D30" i="1"/>
  <c r="D33" i="1" l="1"/>
  <c r="H8" i="1" l="1"/>
  <c r="I8" i="1" s="1"/>
  <c r="H11" i="1" s="1"/>
  <c r="I11" i="1" s="1"/>
  <c r="H7" i="1"/>
  <c r="H6" i="1"/>
  <c r="I6" i="1" l="1"/>
  <c r="H9" i="1" s="1"/>
  <c r="I9" i="1" s="1"/>
  <c r="I7" i="1"/>
  <c r="H10" i="1" l="1"/>
  <c r="I10" i="1" s="1"/>
  <c r="I12" i="1"/>
  <c r="D35" i="1"/>
  <c r="D31" i="1"/>
  <c r="D29" i="1" l="1"/>
  <c r="D36" i="1" s="1"/>
  <c r="D32" i="1"/>
  <c r="D34" i="1" s="1"/>
  <c r="D37" i="1"/>
  <c r="D42" i="1" l="1"/>
  <c r="D48" i="1" s="1"/>
  <c r="D38" i="1"/>
  <c r="D39" i="1" s="1"/>
  <c r="D43" i="1" s="1"/>
  <c r="D49" i="1" s="1"/>
  <c r="D50" i="1" l="1"/>
  <c r="D51" i="1" s="1"/>
  <c r="D54" i="1" s="1"/>
  <c r="D44" i="1"/>
  <c r="BO97" i="3"/>
  <c r="O102" i="3"/>
  <c r="D7" i="4" l="1"/>
  <c r="D7" i="3"/>
  <c r="D45" i="1"/>
  <c r="D53" i="1" s="1"/>
  <c r="AP88" i="4"/>
  <c r="D38" i="4"/>
  <c r="CA71" i="4" s="1"/>
  <c r="CA76" i="4" s="1"/>
  <c r="M88" i="4"/>
  <c r="P58" i="4"/>
  <c r="N58" i="4" s="1"/>
  <c r="P57" i="4"/>
  <c r="N57" i="4" s="1"/>
  <c r="P64" i="4"/>
  <c r="N64" i="4" s="1"/>
  <c r="P63" i="4"/>
  <c r="N63" i="4" s="1"/>
  <c r="P62" i="4"/>
  <c r="N62" i="4" s="1"/>
  <c r="P61" i="4"/>
  <c r="N61" i="4" s="1"/>
  <c r="P60" i="4"/>
  <c r="N60" i="4" s="1"/>
  <c r="BS88" i="4"/>
  <c r="H73" i="4"/>
  <c r="CM56" i="4"/>
  <c r="CK56" i="4"/>
  <c r="BJ56" i="4"/>
  <c r="BH56" i="4"/>
  <c r="AG56" i="4"/>
  <c r="AE56" i="4"/>
  <c r="BO35" i="3"/>
  <c r="AN35" i="3"/>
  <c r="M35" i="3"/>
  <c r="BO19" i="3"/>
  <c r="AN19" i="3"/>
  <c r="M19" i="3"/>
  <c r="C20" i="7"/>
  <c r="H46" i="3"/>
  <c r="BO59" i="3"/>
  <c r="BR57" i="3"/>
  <c r="BR56" i="3"/>
  <c r="BP56" i="3" s="1"/>
  <c r="BR55" i="3"/>
  <c r="BP55" i="3" s="1"/>
  <c r="BR52" i="3"/>
  <c r="BP52" i="3" s="1"/>
  <c r="AN59" i="3"/>
  <c r="AQ57" i="3"/>
  <c r="AO57" i="3" s="1"/>
  <c r="AQ56" i="3"/>
  <c r="AO56" i="3" s="1"/>
  <c r="AQ55" i="3"/>
  <c r="AO55" i="3" s="1"/>
  <c r="AQ52" i="3"/>
  <c r="AO52" i="3" s="1"/>
  <c r="P57" i="3"/>
  <c r="N57" i="3" s="1"/>
  <c r="P56" i="3"/>
  <c r="N56" i="3" s="1"/>
  <c r="P55" i="3"/>
  <c r="N55" i="3" s="1"/>
  <c r="P52" i="3"/>
  <c r="N52" i="3" s="1"/>
  <c r="BS28" i="4"/>
  <c r="CF49" i="4"/>
  <c r="CD49" i="4"/>
  <c r="CB49" i="4"/>
  <c r="BZ49" i="4"/>
  <c r="BX49" i="4"/>
  <c r="BV49" i="4"/>
  <c r="BT49" i="4"/>
  <c r="CF48" i="4"/>
  <c r="CD48" i="4"/>
  <c r="CB48" i="4"/>
  <c r="BZ48" i="4"/>
  <c r="BX48" i="4"/>
  <c r="BV48" i="4"/>
  <c r="BT48" i="4"/>
  <c r="BC49" i="4"/>
  <c r="BA49" i="4"/>
  <c r="AY49" i="4"/>
  <c r="AW49" i="4"/>
  <c r="AU49" i="4"/>
  <c r="AS49" i="4"/>
  <c r="AQ49" i="4"/>
  <c r="BC48" i="4"/>
  <c r="BA48" i="4"/>
  <c r="AY48" i="4"/>
  <c r="AW48" i="4"/>
  <c r="AU48" i="4"/>
  <c r="AS48" i="4"/>
  <c r="AQ48" i="4"/>
  <c r="X49" i="4"/>
  <c r="Z49" i="4"/>
  <c r="Z48" i="4"/>
  <c r="X48" i="4"/>
  <c r="V49" i="4"/>
  <c r="V48" i="4"/>
  <c r="T49" i="4"/>
  <c r="T48" i="4"/>
  <c r="R49" i="4"/>
  <c r="R48" i="4"/>
  <c r="P49" i="4"/>
  <c r="P48" i="4"/>
  <c r="N49" i="4"/>
  <c r="N48" i="4"/>
  <c r="N47" i="4"/>
  <c r="BP42" i="3"/>
  <c r="BR51" i="3"/>
  <c r="BP51" i="3" s="1"/>
  <c r="BR50" i="3"/>
  <c r="BP50" i="3" s="1"/>
  <c r="BR49" i="3"/>
  <c r="BP49" i="3" s="1"/>
  <c r="BR48" i="3"/>
  <c r="BP48" i="3" s="1"/>
  <c r="BR47" i="3"/>
  <c r="BP47" i="3" s="1"/>
  <c r="BR46" i="3"/>
  <c r="BP46" i="3" s="1"/>
  <c r="BR45" i="3"/>
  <c r="BP45" i="3" s="1"/>
  <c r="BR44" i="3"/>
  <c r="BP44" i="3" s="1"/>
  <c r="BR43" i="3"/>
  <c r="BP43" i="3" s="1"/>
  <c r="BR42" i="3"/>
  <c r="BS41" i="3"/>
  <c r="BQ41" i="3"/>
  <c r="AQ51" i="3"/>
  <c r="AO51" i="3" s="1"/>
  <c r="AQ50" i="3"/>
  <c r="AO50" i="3" s="1"/>
  <c r="AQ49" i="3"/>
  <c r="AO49" i="3" s="1"/>
  <c r="AQ48" i="3"/>
  <c r="AO48" i="3" s="1"/>
  <c r="AQ47" i="3"/>
  <c r="AO47" i="3" s="1"/>
  <c r="AQ46" i="3"/>
  <c r="AO46" i="3" s="1"/>
  <c r="AQ45" i="3"/>
  <c r="AO45" i="3" s="1"/>
  <c r="AQ44" i="3"/>
  <c r="AO44" i="3" s="1"/>
  <c r="AQ43" i="3"/>
  <c r="AO43" i="3" s="1"/>
  <c r="AQ42" i="3"/>
  <c r="AO42" i="3" s="1"/>
  <c r="AR41" i="3"/>
  <c r="AP41" i="3"/>
  <c r="P51" i="3"/>
  <c r="N51" i="3" s="1"/>
  <c r="P50" i="3"/>
  <c r="N50" i="3" s="1"/>
  <c r="P49" i="3"/>
  <c r="N49" i="3" s="1"/>
  <c r="P48" i="3"/>
  <c r="N48" i="3" s="1"/>
  <c r="P47" i="3"/>
  <c r="N47" i="3" s="1"/>
  <c r="P46" i="3"/>
  <c r="N46" i="3" s="1"/>
  <c r="P45" i="3"/>
  <c r="N45" i="3" s="1"/>
  <c r="P44" i="3"/>
  <c r="N44" i="3" s="1"/>
  <c r="P43" i="3"/>
  <c r="N43" i="3" s="1"/>
  <c r="P42" i="3"/>
  <c r="N42" i="3" s="1"/>
  <c r="Q41" i="3"/>
  <c r="O41" i="3"/>
  <c r="BV64" i="4"/>
  <c r="BT64" i="4" s="1"/>
  <c r="BV63" i="4"/>
  <c r="BT63" i="4" s="1"/>
  <c r="BV62" i="4"/>
  <c r="BT62" i="4" s="1"/>
  <c r="BV61" i="4"/>
  <c r="BT61" i="4" s="1"/>
  <c r="BV60" i="4"/>
  <c r="BT60" i="4" s="1"/>
  <c r="BV58" i="4"/>
  <c r="BT58" i="4" s="1"/>
  <c r="BV57" i="4"/>
  <c r="BT57" i="4" s="1"/>
  <c r="BW56" i="4"/>
  <c r="BU56" i="4"/>
  <c r="AS64" i="4"/>
  <c r="AQ64" i="4" s="1"/>
  <c r="AS63" i="4"/>
  <c r="AQ63" i="4" s="1"/>
  <c r="AS62" i="4"/>
  <c r="AQ62" i="4" s="1"/>
  <c r="AS61" i="4"/>
  <c r="AQ61" i="4" s="1"/>
  <c r="AS60" i="4"/>
  <c r="AQ60" i="4" s="1"/>
  <c r="AS58" i="4"/>
  <c r="AQ58" i="4" s="1"/>
  <c r="AS57" i="4"/>
  <c r="AQ57" i="4" s="1"/>
  <c r="AT56" i="4"/>
  <c r="AR56" i="4"/>
  <c r="AK61" i="4"/>
  <c r="AK76" i="4" s="1"/>
  <c r="Q56" i="4"/>
  <c r="O56" i="4"/>
  <c r="CF47" i="4"/>
  <c r="BT47" i="4"/>
  <c r="CD47" i="4"/>
  <c r="CB47" i="4"/>
  <c r="BZ47" i="4"/>
  <c r="BX47" i="4"/>
  <c r="BV47" i="4"/>
  <c r="CF46" i="4"/>
  <c r="CD46" i="4"/>
  <c r="CB46" i="4"/>
  <c r="BZ46" i="4"/>
  <c r="BX46" i="4"/>
  <c r="BV46" i="4"/>
  <c r="BT46" i="4"/>
  <c r="CF45" i="4"/>
  <c r="CD45" i="4"/>
  <c r="CB45" i="4"/>
  <c r="BZ45" i="4"/>
  <c r="BX45" i="4"/>
  <c r="BV45" i="4"/>
  <c r="BT45" i="4"/>
  <c r="CF44" i="4"/>
  <c r="CD44" i="4"/>
  <c r="CB44" i="4"/>
  <c r="BZ44" i="4"/>
  <c r="BX44" i="4"/>
  <c r="BV44" i="4"/>
  <c r="BT44" i="4"/>
  <c r="AQ47" i="4"/>
  <c r="BC47" i="4"/>
  <c r="BA47" i="4"/>
  <c r="AY47" i="4"/>
  <c r="AW47" i="4"/>
  <c r="AU47" i="4"/>
  <c r="AS47" i="4"/>
  <c r="BC46" i="4"/>
  <c r="BA46" i="4"/>
  <c r="AY46" i="4"/>
  <c r="AW46" i="4"/>
  <c r="AU46" i="4"/>
  <c r="AS46" i="4"/>
  <c r="AQ46" i="4"/>
  <c r="BC45" i="4"/>
  <c r="BA45" i="4"/>
  <c r="AY45" i="4"/>
  <c r="AW45" i="4"/>
  <c r="AU45" i="4"/>
  <c r="AS45" i="4"/>
  <c r="AQ45" i="4"/>
  <c r="BC44" i="4"/>
  <c r="BA44" i="4"/>
  <c r="AY44" i="4"/>
  <c r="AW44" i="4"/>
  <c r="AU44" i="4"/>
  <c r="AS44" i="4"/>
  <c r="AQ44" i="4"/>
  <c r="Z47" i="4"/>
  <c r="Z46" i="4"/>
  <c r="Z45" i="4"/>
  <c r="Z44" i="4"/>
  <c r="X47" i="4"/>
  <c r="X46" i="4"/>
  <c r="X45" i="4"/>
  <c r="X44" i="4"/>
  <c r="V47" i="4"/>
  <c r="V46" i="4"/>
  <c r="V45" i="4"/>
  <c r="V44" i="4"/>
  <c r="T47" i="4"/>
  <c r="T46" i="4"/>
  <c r="T45" i="4"/>
  <c r="T44" i="4"/>
  <c r="R47" i="4"/>
  <c r="R46" i="4"/>
  <c r="R45" i="4"/>
  <c r="R44" i="4"/>
  <c r="P47" i="4"/>
  <c r="P46" i="4"/>
  <c r="P45" i="4"/>
  <c r="P44" i="4"/>
  <c r="N46" i="4"/>
  <c r="N45" i="4"/>
  <c r="N44" i="4"/>
  <c r="N43" i="4"/>
  <c r="CG41" i="3"/>
  <c r="BF41" i="3"/>
  <c r="AE41" i="3"/>
  <c r="BJ46" i="3"/>
  <c r="AI46" i="3"/>
  <c r="D31" i="3"/>
  <c r="D31" i="4"/>
  <c r="H49" i="3"/>
  <c r="D45" i="4"/>
  <c r="H58" i="4"/>
  <c r="B42" i="4"/>
  <c r="E44" i="3"/>
  <c r="BY82" i="3"/>
  <c r="BW82" i="3"/>
  <c r="BU82" i="3"/>
  <c r="BU92" i="3" s="1"/>
  <c r="BS82" i="3"/>
  <c r="BQ82" i="3"/>
  <c r="AX82" i="3"/>
  <c r="AV82" i="3"/>
  <c r="AT82" i="3"/>
  <c r="AT92" i="3" s="1"/>
  <c r="AR82" i="3"/>
  <c r="AR92" i="3" s="1"/>
  <c r="AP82" i="3"/>
  <c r="W84" i="3"/>
  <c r="W94" i="3" s="1"/>
  <c r="U84" i="3"/>
  <c r="U94" i="3" s="1"/>
  <c r="S84" i="3"/>
  <c r="Q84" i="3"/>
  <c r="Q94" i="3" s="1"/>
  <c r="O84" i="3"/>
  <c r="B46" i="3"/>
  <c r="BJ2" i="3"/>
  <c r="BJ66" i="3" s="1"/>
  <c r="AI2" i="3"/>
  <c r="AI85" i="3" s="1"/>
  <c r="BN2" i="4"/>
  <c r="BN32" i="4" s="1"/>
  <c r="AK2" i="4"/>
  <c r="AK32" i="4" s="1"/>
  <c r="H2" i="3"/>
  <c r="H85" i="3" s="1"/>
  <c r="H2" i="4"/>
  <c r="H66" i="4" s="1"/>
  <c r="S41" i="3"/>
  <c r="B28" i="3"/>
  <c r="C33" i="7"/>
  <c r="C12" i="7"/>
  <c r="C7" i="7"/>
  <c r="D2" i="7"/>
  <c r="D1" i="7"/>
  <c r="D2" i="6"/>
  <c r="D1" i="6"/>
  <c r="C33" i="6"/>
  <c r="C12" i="6"/>
  <c r="C20" i="6"/>
  <c r="C7" i="6"/>
  <c r="T4" i="5"/>
  <c r="AF4" i="5"/>
  <c r="T5" i="5"/>
  <c r="AF5" i="5"/>
  <c r="C6" i="5"/>
  <c r="T6" i="5"/>
  <c r="AF6" i="5"/>
  <c r="T7" i="5"/>
  <c r="AF7" i="5"/>
  <c r="C8" i="5"/>
  <c r="T8" i="5"/>
  <c r="AF8" i="5"/>
  <c r="C9" i="5"/>
  <c r="T9" i="5"/>
  <c r="AF9" i="5"/>
  <c r="T24" i="5"/>
  <c r="T25" i="5"/>
  <c r="C26" i="5"/>
  <c r="T26" i="5"/>
  <c r="T27" i="5"/>
  <c r="C28" i="5"/>
  <c r="T28" i="5"/>
  <c r="C29" i="5"/>
  <c r="T29" i="5"/>
  <c r="B16" i="2"/>
  <c r="E16" i="2"/>
  <c r="B17" i="2"/>
  <c r="E17" i="2"/>
  <c r="B18" i="2"/>
  <c r="E18" i="2"/>
  <c r="B19" i="2"/>
  <c r="E19" i="2"/>
  <c r="D1" i="4"/>
  <c r="O1" i="4"/>
  <c r="O14" i="4" s="1"/>
  <c r="Q1" i="4"/>
  <c r="AT8" i="4" s="1"/>
  <c r="S1" i="4"/>
  <c r="BY3" i="4" s="1"/>
  <c r="U1" i="4"/>
  <c r="CA15" i="4" s="1"/>
  <c r="W1" i="4"/>
  <c r="W14" i="4" s="1"/>
  <c r="Y1" i="4"/>
  <c r="AR1" i="4"/>
  <c r="AT1" i="4"/>
  <c r="AV1" i="4"/>
  <c r="AX1" i="4"/>
  <c r="AZ1" i="4"/>
  <c r="BB1" i="4"/>
  <c r="BU1" i="4"/>
  <c r="BW1" i="4"/>
  <c r="BY1" i="4"/>
  <c r="CA1" i="4"/>
  <c r="CC1" i="4"/>
  <c r="CE1" i="4"/>
  <c r="D2" i="4"/>
  <c r="H6" i="4"/>
  <c r="H33" i="4" s="1"/>
  <c r="AK6" i="4"/>
  <c r="AK36" i="4" s="1"/>
  <c r="BN6" i="4"/>
  <c r="BN36" i="4" s="1"/>
  <c r="H4" i="4"/>
  <c r="H53" i="4" s="1"/>
  <c r="D9" i="4"/>
  <c r="AM22" i="4" s="1"/>
  <c r="AN22" i="4" s="1"/>
  <c r="D10" i="4"/>
  <c r="E12" i="4"/>
  <c r="O31" i="4"/>
  <c r="Q31" i="4"/>
  <c r="S31" i="4"/>
  <c r="U31" i="4"/>
  <c r="W31" i="4"/>
  <c r="Y31" i="4"/>
  <c r="AR31" i="4"/>
  <c r="AT31" i="4"/>
  <c r="AV31" i="4"/>
  <c r="AX31" i="4"/>
  <c r="AZ31" i="4"/>
  <c r="BB31" i="4"/>
  <c r="BU31" i="4"/>
  <c r="BW31" i="4"/>
  <c r="BY31" i="4"/>
  <c r="CA31" i="4"/>
  <c r="CC31" i="4"/>
  <c r="CE31" i="4"/>
  <c r="N32" i="4"/>
  <c r="P32" i="4"/>
  <c r="R32" i="4"/>
  <c r="T32" i="4"/>
  <c r="V32" i="4"/>
  <c r="X32" i="4"/>
  <c r="Z32" i="4"/>
  <c r="AQ32" i="4"/>
  <c r="AS32" i="4"/>
  <c r="AU32" i="4"/>
  <c r="AW32" i="4"/>
  <c r="AY32" i="4"/>
  <c r="BA32" i="4"/>
  <c r="BC32" i="4"/>
  <c r="BT32" i="4"/>
  <c r="BV32" i="4"/>
  <c r="BX32" i="4"/>
  <c r="BZ32" i="4"/>
  <c r="CB32" i="4"/>
  <c r="CD32" i="4"/>
  <c r="CF32" i="4"/>
  <c r="N33" i="4"/>
  <c r="P33" i="4"/>
  <c r="R33" i="4"/>
  <c r="T33" i="4"/>
  <c r="V33" i="4"/>
  <c r="X33" i="4"/>
  <c r="Z33" i="4"/>
  <c r="AQ33" i="4"/>
  <c r="AS33" i="4"/>
  <c r="AU33" i="4"/>
  <c r="AW33" i="4"/>
  <c r="AY33" i="4"/>
  <c r="BA33" i="4"/>
  <c r="BC33" i="4"/>
  <c r="BT33" i="4"/>
  <c r="BV33" i="4"/>
  <c r="BX33" i="4"/>
  <c r="BZ33" i="4"/>
  <c r="CB33" i="4"/>
  <c r="CD33" i="4"/>
  <c r="CF33" i="4"/>
  <c r="N34" i="4"/>
  <c r="P34" i="4"/>
  <c r="R34" i="4"/>
  <c r="T34" i="4"/>
  <c r="V34" i="4"/>
  <c r="X34" i="4"/>
  <c r="Z34" i="4"/>
  <c r="AQ34" i="4"/>
  <c r="AS34" i="4"/>
  <c r="AU34" i="4"/>
  <c r="AW34" i="4"/>
  <c r="AY34" i="4"/>
  <c r="BA34" i="4"/>
  <c r="BC34" i="4"/>
  <c r="BN34" i="4"/>
  <c r="BT34" i="4"/>
  <c r="BV34" i="4"/>
  <c r="BX34" i="4"/>
  <c r="BZ34" i="4"/>
  <c r="CB34" i="4"/>
  <c r="CD34" i="4"/>
  <c r="CF34" i="4"/>
  <c r="N35" i="4"/>
  <c r="P35" i="4"/>
  <c r="R35" i="4"/>
  <c r="T35" i="4"/>
  <c r="V35" i="4"/>
  <c r="X35" i="4"/>
  <c r="Z35" i="4"/>
  <c r="AQ35" i="4"/>
  <c r="AS35" i="4"/>
  <c r="AU35" i="4"/>
  <c r="AW35" i="4"/>
  <c r="AY35" i="4"/>
  <c r="BA35" i="4"/>
  <c r="BC35" i="4"/>
  <c r="BT35" i="4"/>
  <c r="BV35" i="4"/>
  <c r="BX35" i="4"/>
  <c r="BZ35" i="4"/>
  <c r="CB35" i="4"/>
  <c r="CD35" i="4"/>
  <c r="CF35" i="4"/>
  <c r="N36" i="4"/>
  <c r="P36" i="4"/>
  <c r="R36" i="4"/>
  <c r="T36" i="4"/>
  <c r="V36" i="4"/>
  <c r="X36" i="4"/>
  <c r="Z36" i="4"/>
  <c r="AQ36" i="4"/>
  <c r="AS36" i="4"/>
  <c r="AU36" i="4"/>
  <c r="AW36" i="4"/>
  <c r="AY36" i="4"/>
  <c r="BA36" i="4"/>
  <c r="BC36" i="4"/>
  <c r="BT36" i="4"/>
  <c r="BV36" i="4"/>
  <c r="BX36" i="4"/>
  <c r="BZ36" i="4"/>
  <c r="CB36" i="4"/>
  <c r="CD36" i="4"/>
  <c r="CF36" i="4"/>
  <c r="N37" i="4"/>
  <c r="P37" i="4"/>
  <c r="R37" i="4"/>
  <c r="T37" i="4"/>
  <c r="V37" i="4"/>
  <c r="X37" i="4"/>
  <c r="Z37" i="4"/>
  <c r="AQ37" i="4"/>
  <c r="AS37" i="4"/>
  <c r="AU37" i="4"/>
  <c r="AW37" i="4"/>
  <c r="AY37" i="4"/>
  <c r="BA37" i="4"/>
  <c r="BC37" i="4"/>
  <c r="BT37" i="4"/>
  <c r="BV37" i="4"/>
  <c r="BX37" i="4"/>
  <c r="BZ37" i="4"/>
  <c r="CB37" i="4"/>
  <c r="CD37" i="4"/>
  <c r="CF37" i="4"/>
  <c r="P41" i="4"/>
  <c r="R41" i="4"/>
  <c r="T41" i="4"/>
  <c r="V41" i="4"/>
  <c r="X41" i="4"/>
  <c r="Z41" i="4"/>
  <c r="AQ41" i="4"/>
  <c r="AS41" i="4"/>
  <c r="AU41" i="4"/>
  <c r="AW41" i="4"/>
  <c r="AY41" i="4"/>
  <c r="BA41" i="4"/>
  <c r="BC41" i="4"/>
  <c r="BT41" i="4"/>
  <c r="BV41" i="4"/>
  <c r="BX41" i="4"/>
  <c r="BZ41" i="4"/>
  <c r="CB41" i="4"/>
  <c r="CD41" i="4"/>
  <c r="CF41" i="4"/>
  <c r="N42" i="4"/>
  <c r="P42" i="4"/>
  <c r="R42" i="4"/>
  <c r="T42" i="4"/>
  <c r="V42" i="4"/>
  <c r="X42" i="4"/>
  <c r="Z42" i="4"/>
  <c r="AQ42" i="4"/>
  <c r="AS42" i="4"/>
  <c r="AU42" i="4"/>
  <c r="AW42" i="4"/>
  <c r="AY42" i="4"/>
  <c r="BA42" i="4"/>
  <c r="BC42" i="4"/>
  <c r="BT42" i="4"/>
  <c r="BV42" i="4"/>
  <c r="BX42" i="4"/>
  <c r="BZ42" i="4"/>
  <c r="CB42" i="4"/>
  <c r="CD42" i="4"/>
  <c r="CF42" i="4"/>
  <c r="P43" i="4"/>
  <c r="R43" i="4"/>
  <c r="T43" i="4"/>
  <c r="V43" i="4"/>
  <c r="X43" i="4"/>
  <c r="Z43" i="4"/>
  <c r="AQ43" i="4"/>
  <c r="AS43" i="4"/>
  <c r="AU43" i="4"/>
  <c r="AW43" i="4"/>
  <c r="AY43" i="4"/>
  <c r="BA43" i="4"/>
  <c r="BC43" i="4"/>
  <c r="BT43" i="4"/>
  <c r="BV43" i="4"/>
  <c r="BX43" i="4"/>
  <c r="BZ43" i="4"/>
  <c r="CB43" i="4"/>
  <c r="CD43" i="4"/>
  <c r="CF43" i="4"/>
  <c r="B28" i="4"/>
  <c r="A37" i="7" s="1"/>
  <c r="S56" i="4"/>
  <c r="U56" i="4"/>
  <c r="W56" i="4"/>
  <c r="Y56" i="4"/>
  <c r="AA56" i="4"/>
  <c r="AC56" i="4"/>
  <c r="AV56" i="4"/>
  <c r="AX56" i="4"/>
  <c r="AZ56" i="4"/>
  <c r="BB56" i="4"/>
  <c r="BD56" i="4"/>
  <c r="BF56" i="4"/>
  <c r="BY56" i="4"/>
  <c r="CA56" i="4"/>
  <c r="CC56" i="4"/>
  <c r="CE56" i="4"/>
  <c r="CG56" i="4"/>
  <c r="CI56" i="4"/>
  <c r="BN59" i="4"/>
  <c r="H55" i="4"/>
  <c r="H70" i="4" s="1"/>
  <c r="BN61" i="4"/>
  <c r="BN76" i="4" s="1"/>
  <c r="H56" i="4"/>
  <c r="AK62" i="4"/>
  <c r="BN62" i="4"/>
  <c r="BN74" i="4"/>
  <c r="H71" i="4"/>
  <c r="AK77" i="4"/>
  <c r="BN77" i="4"/>
  <c r="D1" i="3"/>
  <c r="O1" i="3"/>
  <c r="Q1" i="3"/>
  <c r="Q12" i="3" s="1"/>
  <c r="S1" i="3"/>
  <c r="S4" i="3" s="1"/>
  <c r="U1" i="3"/>
  <c r="U9" i="3" s="1"/>
  <c r="W1" i="3"/>
  <c r="AX11" i="3" s="1"/>
  <c r="Y1" i="3"/>
  <c r="CA8" i="3" s="1"/>
  <c r="AP1" i="3"/>
  <c r="AR1" i="3"/>
  <c r="AT1" i="3"/>
  <c r="AV1" i="3"/>
  <c r="AX1" i="3"/>
  <c r="AZ1" i="3"/>
  <c r="BQ1" i="3"/>
  <c r="BS1" i="3"/>
  <c r="BU1" i="3"/>
  <c r="BW1" i="3"/>
  <c r="BY1" i="3"/>
  <c r="CA1" i="3"/>
  <c r="D2" i="3"/>
  <c r="H6" i="3"/>
  <c r="H29" i="3" s="1"/>
  <c r="AI6" i="3"/>
  <c r="AI29" i="3" s="1"/>
  <c r="BJ6" i="3"/>
  <c r="BJ29" i="3" s="1"/>
  <c r="AI44" i="3"/>
  <c r="D9" i="3"/>
  <c r="C7" i="5" s="1"/>
  <c r="D10" i="3"/>
  <c r="E12" i="3"/>
  <c r="O24" i="3"/>
  <c r="O31" i="3" s="1"/>
  <c r="Q24" i="3"/>
  <c r="AR30" i="3" s="1"/>
  <c r="S24" i="3"/>
  <c r="U24" i="3"/>
  <c r="U29" i="3" s="1"/>
  <c r="W24" i="3"/>
  <c r="Y24" i="3"/>
  <c r="AZ30" i="3" s="1"/>
  <c r="AP24" i="3"/>
  <c r="AR24" i="3"/>
  <c r="AT24" i="3"/>
  <c r="AV24" i="3"/>
  <c r="AX24" i="3"/>
  <c r="AZ24" i="3"/>
  <c r="BQ24" i="3"/>
  <c r="BS24" i="3"/>
  <c r="BU24" i="3"/>
  <c r="BW24" i="3"/>
  <c r="BY24" i="3"/>
  <c r="CA24" i="3"/>
  <c r="BJ27" i="3"/>
  <c r="A37" i="6"/>
  <c r="E36" i="3"/>
  <c r="U41" i="3"/>
  <c r="W41" i="3"/>
  <c r="Y41" i="3"/>
  <c r="AA41" i="3"/>
  <c r="AC41" i="3"/>
  <c r="AT41" i="3"/>
  <c r="AV41" i="3"/>
  <c r="AX41" i="3"/>
  <c r="AZ41" i="3"/>
  <c r="BB41" i="3"/>
  <c r="BD41" i="3"/>
  <c r="BU41" i="3"/>
  <c r="BW41" i="3"/>
  <c r="BY41" i="3"/>
  <c r="CA41" i="3"/>
  <c r="CC41" i="3"/>
  <c r="CE41" i="3"/>
  <c r="BJ44" i="3"/>
  <c r="H47" i="3"/>
  <c r="AI47" i="3"/>
  <c r="BJ47" i="3"/>
  <c r="O65" i="3"/>
  <c r="Q65" i="3"/>
  <c r="S65" i="3"/>
  <c r="U65" i="3"/>
  <c r="W65" i="3"/>
  <c r="Y65" i="3"/>
  <c r="AP65" i="3"/>
  <c r="AR65" i="3"/>
  <c r="AT65" i="3"/>
  <c r="AT75" i="3" s="1"/>
  <c r="AV65" i="3"/>
  <c r="AX65" i="3"/>
  <c r="AZ65" i="3"/>
  <c r="BQ64" i="3"/>
  <c r="BS64" i="3"/>
  <c r="BU64" i="3"/>
  <c r="BW64" i="3"/>
  <c r="BY64" i="3"/>
  <c r="BY75" i="3" s="1"/>
  <c r="CA64" i="3"/>
  <c r="AX69" i="3"/>
  <c r="U70" i="3"/>
  <c r="AX66" i="3"/>
  <c r="BJ68" i="3"/>
  <c r="U67" i="3"/>
  <c r="H70" i="3"/>
  <c r="AI70" i="3"/>
  <c r="BJ70" i="3"/>
  <c r="U71" i="3"/>
  <c r="AX71" i="3"/>
  <c r="U74" i="3"/>
  <c r="BJ85" i="3"/>
  <c r="AP100" i="3"/>
  <c r="BQ100" i="3"/>
  <c r="O12" i="3"/>
  <c r="O4" i="3"/>
  <c r="O2" i="3"/>
  <c r="AZ4" i="3"/>
  <c r="BU83" i="3"/>
  <c r="BS91" i="3"/>
  <c r="AV30" i="3"/>
  <c r="BU91" i="3"/>
  <c r="BU90" i="3"/>
  <c r="O92" i="3"/>
  <c r="BS83" i="3"/>
  <c r="O86" i="3"/>
  <c r="O88" i="3"/>
  <c r="BU85" i="3"/>
  <c r="AX6" i="4"/>
  <c r="U24" i="4"/>
  <c r="U17" i="4"/>
  <c r="AX8" i="4"/>
  <c r="U21" i="4"/>
  <c r="CA23" i="4"/>
  <c r="CA3" i="4"/>
  <c r="AX18" i="4"/>
  <c r="AX7" i="4"/>
  <c r="BP57" i="3"/>
  <c r="AA66" i="4" l="1"/>
  <c r="AA65" i="4"/>
  <c r="AP85" i="3"/>
  <c r="AO97" i="3"/>
  <c r="AP92" i="3"/>
  <c r="AX88" i="3"/>
  <c r="AX92" i="3"/>
  <c r="BW93" i="3"/>
  <c r="BW92" i="3"/>
  <c r="BH59" i="4"/>
  <c r="BH66" i="4"/>
  <c r="BH65" i="4"/>
  <c r="BW71" i="3"/>
  <c r="BW75" i="3"/>
  <c r="AZ67" i="3"/>
  <c r="AZ75" i="3"/>
  <c r="AR67" i="3"/>
  <c r="AR75" i="3"/>
  <c r="U73" i="3"/>
  <c r="U75" i="3"/>
  <c r="CG66" i="4"/>
  <c r="CG65" i="4"/>
  <c r="BY66" i="4"/>
  <c r="BY65" i="4"/>
  <c r="AZ65" i="4"/>
  <c r="AZ66" i="4"/>
  <c r="S66" i="4"/>
  <c r="S65" i="4"/>
  <c r="U26" i="3"/>
  <c r="AV25" i="3"/>
  <c r="AT73" i="3"/>
  <c r="BU69" i="3"/>
  <c r="BU75" i="3"/>
  <c r="AX76" i="3"/>
  <c r="AX75" i="3"/>
  <c r="AP73" i="3"/>
  <c r="AO80" i="3"/>
  <c r="AP75" i="3"/>
  <c r="S69" i="3"/>
  <c r="S75" i="3"/>
  <c r="CE66" i="4"/>
  <c r="CE65" i="4"/>
  <c r="BF59" i="4"/>
  <c r="BF66" i="4"/>
  <c r="BF65" i="4"/>
  <c r="AX66" i="4"/>
  <c r="AX65" i="4"/>
  <c r="Y65" i="4"/>
  <c r="Y66" i="4"/>
  <c r="N69" i="4"/>
  <c r="O69" i="4" s="1"/>
  <c r="AQ69" i="4"/>
  <c r="AR69" i="4" s="1"/>
  <c r="BT69" i="4"/>
  <c r="BU69" i="4" s="1"/>
  <c r="S90" i="3"/>
  <c r="S94" i="3"/>
  <c r="BQ85" i="3"/>
  <c r="BQ92" i="3"/>
  <c r="BQ93" i="3"/>
  <c r="BY85" i="3"/>
  <c r="BY92" i="3"/>
  <c r="AR59" i="4"/>
  <c r="AR66" i="4"/>
  <c r="AR65" i="4"/>
  <c r="BJ66" i="4"/>
  <c r="BJ65" i="4"/>
  <c r="BS89" i="3"/>
  <c r="BS92" i="3"/>
  <c r="O59" i="4"/>
  <c r="O66" i="4"/>
  <c r="O65" i="4"/>
  <c r="AT59" i="4"/>
  <c r="AT65" i="4"/>
  <c r="AT66" i="4"/>
  <c r="BU59" i="4"/>
  <c r="BU65" i="4"/>
  <c r="BU66" i="4"/>
  <c r="AE66" i="4"/>
  <c r="AE65" i="4"/>
  <c r="CK66" i="4"/>
  <c r="CK65" i="4"/>
  <c r="AR73" i="3"/>
  <c r="CA70" i="3"/>
  <c r="CA75" i="3"/>
  <c r="BS70" i="3"/>
  <c r="BS75" i="3"/>
  <c r="AV74" i="3"/>
  <c r="AV75" i="3"/>
  <c r="Y69" i="3"/>
  <c r="Y75" i="3"/>
  <c r="Q68" i="3"/>
  <c r="Q75" i="3"/>
  <c r="CC59" i="4"/>
  <c r="CC65" i="4"/>
  <c r="CC66" i="4"/>
  <c r="BD65" i="4"/>
  <c r="BD66" i="4"/>
  <c r="AV65" i="4"/>
  <c r="AV66" i="4"/>
  <c r="W66" i="4"/>
  <c r="W65" i="4"/>
  <c r="U30" i="3"/>
  <c r="U76" i="3"/>
  <c r="AZ70" i="3"/>
  <c r="BQ72" i="3"/>
  <c r="BP79" i="3"/>
  <c r="BQ79" i="3" s="1"/>
  <c r="BJ79" i="3" s="1"/>
  <c r="BQ75" i="3"/>
  <c r="BQ74" i="3"/>
  <c r="W68" i="3"/>
  <c r="W75" i="3"/>
  <c r="O72" i="3"/>
  <c r="O75" i="3"/>
  <c r="N80" i="3"/>
  <c r="O80" i="3" s="1"/>
  <c r="H79" i="3" s="1"/>
  <c r="CI66" i="4"/>
  <c r="CI65" i="4"/>
  <c r="CA66" i="4"/>
  <c r="CA65" i="4"/>
  <c r="BB66" i="4"/>
  <c r="BB65" i="4"/>
  <c r="AC65" i="4"/>
  <c r="AC66" i="4"/>
  <c r="U65" i="4"/>
  <c r="U66" i="4"/>
  <c r="O85" i="3"/>
  <c r="O95" i="3"/>
  <c r="O94" i="3"/>
  <c r="N99" i="3"/>
  <c r="O99" i="3" s="1"/>
  <c r="AV88" i="3"/>
  <c r="AV92" i="3"/>
  <c r="Q59" i="4"/>
  <c r="Q65" i="4"/>
  <c r="Q66" i="4"/>
  <c r="BW59" i="4"/>
  <c r="BW65" i="4"/>
  <c r="BW66" i="4"/>
  <c r="AG66" i="4"/>
  <c r="AG65" i="4"/>
  <c r="CM66" i="4"/>
  <c r="CM65" i="4"/>
  <c r="Y37" i="4"/>
  <c r="BT53" i="4"/>
  <c r="AV15" i="4"/>
  <c r="S3" i="4"/>
  <c r="AV21" i="4"/>
  <c r="AP80" i="3"/>
  <c r="D6" i="4"/>
  <c r="D6" i="3"/>
  <c r="AX40" i="4"/>
  <c r="CA40" i="4"/>
  <c r="CA39" i="4"/>
  <c r="U40" i="4"/>
  <c r="AX38" i="4"/>
  <c r="CA38" i="4"/>
  <c r="AX39" i="4"/>
  <c r="U38" i="4"/>
  <c r="U39" i="4"/>
  <c r="CA3" i="3"/>
  <c r="AZ68" i="3"/>
  <c r="Y38" i="4"/>
  <c r="BB40" i="4"/>
  <c r="BB38" i="4"/>
  <c r="CE38" i="4"/>
  <c r="Y39" i="4"/>
  <c r="CE39" i="4"/>
  <c r="CE40" i="4"/>
  <c r="Y40" i="4"/>
  <c r="BB39" i="4"/>
  <c r="AT40" i="4"/>
  <c r="BW38" i="4"/>
  <c r="Q39" i="4"/>
  <c r="BW39" i="4"/>
  <c r="AT38" i="4"/>
  <c r="AT39" i="4"/>
  <c r="Q40" i="4"/>
  <c r="Q38" i="4"/>
  <c r="BW40" i="4"/>
  <c r="BY39" i="4"/>
  <c r="BY40" i="4"/>
  <c r="AV40" i="4"/>
  <c r="S38" i="4"/>
  <c r="AV39" i="4"/>
  <c r="BY38" i="4"/>
  <c r="S40" i="4"/>
  <c r="AV38" i="4"/>
  <c r="S39" i="4"/>
  <c r="O20" i="4"/>
  <c r="O22" i="4"/>
  <c r="AZ73" i="3"/>
  <c r="S5" i="3"/>
  <c r="W40" i="4"/>
  <c r="CC39" i="4"/>
  <c r="AZ38" i="4"/>
  <c r="AZ39" i="4"/>
  <c r="CC38" i="4"/>
  <c r="W39" i="4"/>
  <c r="AZ40" i="4"/>
  <c r="CC40" i="4"/>
  <c r="W38" i="4"/>
  <c r="AR40" i="4"/>
  <c r="BU39" i="4"/>
  <c r="BU38" i="4"/>
  <c r="O38" i="4"/>
  <c r="BU40" i="4"/>
  <c r="AR39" i="4"/>
  <c r="O40" i="4"/>
  <c r="O39" i="4"/>
  <c r="AR38" i="4"/>
  <c r="BW71" i="4"/>
  <c r="BW79" i="4" s="1"/>
  <c r="AR21" i="4"/>
  <c r="AX3" i="4"/>
  <c r="O19" i="4"/>
  <c r="CC3" i="4"/>
  <c r="CC12" i="4"/>
  <c r="CC10" i="4"/>
  <c r="AZ11" i="4"/>
  <c r="W12" i="4"/>
  <c r="W10" i="4"/>
  <c r="CC11" i="4"/>
  <c r="AZ10" i="4"/>
  <c r="W11" i="4"/>
  <c r="AZ12" i="4"/>
  <c r="BU20" i="4"/>
  <c r="BU11" i="4"/>
  <c r="AR12" i="4"/>
  <c r="AR10" i="4"/>
  <c r="O11" i="4"/>
  <c r="BU12" i="4"/>
  <c r="BU10" i="4"/>
  <c r="AR11" i="4"/>
  <c r="O12" i="4"/>
  <c r="O10" i="4"/>
  <c r="BW12" i="4"/>
  <c r="BW10" i="4"/>
  <c r="AT11" i="4"/>
  <c r="Q12" i="4"/>
  <c r="Q10" i="4"/>
  <c r="BW11" i="4"/>
  <c r="AT12" i="4"/>
  <c r="AT10" i="4"/>
  <c r="Q11" i="4"/>
  <c r="S36" i="4"/>
  <c r="U9" i="4"/>
  <c r="CA11" i="4"/>
  <c r="AX12" i="4"/>
  <c r="AX10" i="4"/>
  <c r="U11" i="4"/>
  <c r="CA12" i="4"/>
  <c r="CA10" i="4"/>
  <c r="AX11" i="4"/>
  <c r="U12" i="4"/>
  <c r="U10" i="4"/>
  <c r="U44" i="4"/>
  <c r="BU44" i="4"/>
  <c r="Y16" i="4"/>
  <c r="CE12" i="4"/>
  <c r="CE10" i="4"/>
  <c r="BB11" i="4"/>
  <c r="Y12" i="4"/>
  <c r="Y10" i="4"/>
  <c r="CE11" i="4"/>
  <c r="BB12" i="4"/>
  <c r="BB10" i="4"/>
  <c r="Y11" i="4"/>
  <c r="AV14" i="4"/>
  <c r="BY11" i="4"/>
  <c r="AV12" i="4"/>
  <c r="AV10" i="4"/>
  <c r="S11" i="4"/>
  <c r="BY10" i="4"/>
  <c r="BY12" i="4"/>
  <c r="AV11" i="4"/>
  <c r="S12" i="4"/>
  <c r="S10" i="4"/>
  <c r="B14" i="4"/>
  <c r="BU6" i="4"/>
  <c r="AR5" i="4"/>
  <c r="BU3" i="4"/>
  <c r="W8" i="4"/>
  <c r="AR6" i="4"/>
  <c r="CI60" i="4"/>
  <c r="CI59" i="4"/>
  <c r="BB62" i="4"/>
  <c r="BB59" i="4"/>
  <c r="U57" i="4"/>
  <c r="U59" i="4"/>
  <c r="AX33" i="4"/>
  <c r="Y47" i="4"/>
  <c r="O5" i="4"/>
  <c r="AR18" i="4"/>
  <c r="U6" i="4"/>
  <c r="W23" i="4"/>
  <c r="W13" i="4"/>
  <c r="W21" i="4"/>
  <c r="BU4" i="4"/>
  <c r="CE61" i="4"/>
  <c r="CE59" i="4"/>
  <c r="AX63" i="4"/>
  <c r="AX59" i="4"/>
  <c r="Y62" i="4"/>
  <c r="Y59" i="4"/>
  <c r="CA48" i="4"/>
  <c r="AE60" i="4"/>
  <c r="AE59" i="4"/>
  <c r="CK60" i="4"/>
  <c r="CK59" i="4"/>
  <c r="CM64" i="4"/>
  <c r="CM59" i="4"/>
  <c r="BD61" i="4"/>
  <c r="BD59" i="4"/>
  <c r="AV64" i="4"/>
  <c r="AV59" i="4"/>
  <c r="W58" i="4"/>
  <c r="W59" i="4"/>
  <c r="AG60" i="4"/>
  <c r="AG59" i="4"/>
  <c r="BU19" i="4"/>
  <c r="W17" i="4"/>
  <c r="CA57" i="4"/>
  <c r="CA59" i="4"/>
  <c r="AC64" i="4"/>
  <c r="AC59" i="4"/>
  <c r="S44" i="4"/>
  <c r="AV46" i="4"/>
  <c r="AX47" i="4"/>
  <c r="CA44" i="4"/>
  <c r="BY46" i="4"/>
  <c r="O24" i="4"/>
  <c r="CA20" i="4"/>
  <c r="CA6" i="4"/>
  <c r="CA17" i="4"/>
  <c r="U23" i="4"/>
  <c r="O8" i="4"/>
  <c r="AR4" i="4"/>
  <c r="CA19" i="4"/>
  <c r="CG62" i="4"/>
  <c r="CG59" i="4"/>
  <c r="BY60" i="4"/>
  <c r="BY59" i="4"/>
  <c r="AZ58" i="4"/>
  <c r="AZ59" i="4"/>
  <c r="AA62" i="4"/>
  <c r="AA59" i="4"/>
  <c r="S61" i="4"/>
  <c r="S59" i="4"/>
  <c r="S64" i="4"/>
  <c r="CC32" i="4"/>
  <c r="BU37" i="4"/>
  <c r="BJ60" i="4"/>
  <c r="BJ59" i="4"/>
  <c r="Q90" i="3"/>
  <c r="Q89" i="3"/>
  <c r="U90" i="3"/>
  <c r="U95" i="3"/>
  <c r="AT89" i="3"/>
  <c r="AT86" i="3"/>
  <c r="W92" i="3"/>
  <c r="W95" i="3"/>
  <c r="BU86" i="3"/>
  <c r="BU87" i="3"/>
  <c r="AT85" i="3"/>
  <c r="AT84" i="3"/>
  <c r="AT91" i="3"/>
  <c r="U93" i="3"/>
  <c r="O91" i="3"/>
  <c r="BQ87" i="3"/>
  <c r="S91" i="3"/>
  <c r="BQ91" i="3"/>
  <c r="BQ83" i="3"/>
  <c r="AT87" i="3"/>
  <c r="S86" i="3"/>
  <c r="BQ84" i="3"/>
  <c r="S87" i="3"/>
  <c r="AX85" i="3"/>
  <c r="AP88" i="3"/>
  <c r="BY89" i="3"/>
  <c r="S85" i="3"/>
  <c r="BQ89" i="3"/>
  <c r="S92" i="3"/>
  <c r="AP84" i="3"/>
  <c r="S95" i="3"/>
  <c r="BQ90" i="3"/>
  <c r="Q85" i="3"/>
  <c r="O87" i="3"/>
  <c r="AX89" i="3"/>
  <c r="AX50" i="3"/>
  <c r="AX53" i="3"/>
  <c r="AX54" i="3"/>
  <c r="AX68" i="3"/>
  <c r="AV44" i="3"/>
  <c r="AV54" i="3"/>
  <c r="AV53" i="3"/>
  <c r="Y44" i="4"/>
  <c r="O54" i="3"/>
  <c r="O53" i="3"/>
  <c r="AP53" i="3"/>
  <c r="AP54" i="3"/>
  <c r="Y48" i="4"/>
  <c r="CC47" i="3"/>
  <c r="CC53" i="3"/>
  <c r="CC54" i="3"/>
  <c r="CA50" i="3"/>
  <c r="CA54" i="3"/>
  <c r="CA53" i="3"/>
  <c r="Y52" i="3"/>
  <c r="Y54" i="3"/>
  <c r="Y53" i="3"/>
  <c r="BQ53" i="3"/>
  <c r="BQ54" i="3"/>
  <c r="S9" i="4"/>
  <c r="S14" i="4"/>
  <c r="S15" i="4"/>
  <c r="O89" i="3"/>
  <c r="BS88" i="3"/>
  <c r="AT93" i="3"/>
  <c r="AX67" i="3"/>
  <c r="U92" i="3"/>
  <c r="BS84" i="3"/>
  <c r="BS86" i="3"/>
  <c r="AX74" i="3"/>
  <c r="AX73" i="3"/>
  <c r="AX72" i="3"/>
  <c r="AX70" i="3"/>
  <c r="BY42" i="3"/>
  <c r="BY54" i="3"/>
  <c r="BY53" i="3"/>
  <c r="BB45" i="3"/>
  <c r="BB54" i="3"/>
  <c r="BB53" i="3"/>
  <c r="AT42" i="3"/>
  <c r="AT54" i="3"/>
  <c r="AT53" i="3"/>
  <c r="W48" i="3"/>
  <c r="W53" i="3"/>
  <c r="W54" i="3"/>
  <c r="AX41" i="4"/>
  <c r="Y35" i="4"/>
  <c r="BB33" i="4"/>
  <c r="AE52" i="3"/>
  <c r="AE54" i="3"/>
  <c r="AE53" i="3"/>
  <c r="BB44" i="4"/>
  <c r="CE47" i="4"/>
  <c r="Q53" i="3"/>
  <c r="Q54" i="3"/>
  <c r="AR54" i="3"/>
  <c r="AR53" i="3"/>
  <c r="BS54" i="3"/>
  <c r="BS53" i="3"/>
  <c r="BU53" i="3"/>
  <c r="BU54" i="3"/>
  <c r="AA51" i="3"/>
  <c r="AA54" i="3"/>
  <c r="AA53" i="3"/>
  <c r="B39" i="3"/>
  <c r="N59" i="3"/>
  <c r="S76" i="3"/>
  <c r="BD43" i="3"/>
  <c r="BD53" i="3"/>
  <c r="BD54" i="3"/>
  <c r="N53" i="4"/>
  <c r="S50" i="3"/>
  <c r="S54" i="3"/>
  <c r="S53" i="3"/>
  <c r="AV22" i="4"/>
  <c r="U91" i="3"/>
  <c r="BS87" i="3"/>
  <c r="AT83" i="3"/>
  <c r="AT90" i="3"/>
  <c r="CE47" i="3"/>
  <c r="CE54" i="3"/>
  <c r="CE53" i="3"/>
  <c r="BW49" i="3"/>
  <c r="BW53" i="3"/>
  <c r="BW54" i="3"/>
  <c r="AZ54" i="3"/>
  <c r="AZ53" i="3"/>
  <c r="AC45" i="3"/>
  <c r="AC54" i="3"/>
  <c r="AC53" i="3"/>
  <c r="U56" i="3"/>
  <c r="U53" i="3"/>
  <c r="U54" i="3"/>
  <c r="BQ25" i="3"/>
  <c r="AT11" i="3"/>
  <c r="S8" i="3"/>
  <c r="CE43" i="4"/>
  <c r="AR43" i="4"/>
  <c r="BB41" i="4"/>
  <c r="Y34" i="4"/>
  <c r="CC33" i="4"/>
  <c r="BU8" i="4"/>
  <c r="N28" i="4"/>
  <c r="S93" i="3"/>
  <c r="BF46" i="3"/>
  <c r="BF53" i="3"/>
  <c r="BF54" i="3"/>
  <c r="CC46" i="4"/>
  <c r="CG52" i="3"/>
  <c r="CG54" i="3"/>
  <c r="CG53" i="3"/>
  <c r="AX49" i="4"/>
  <c r="CE48" i="4"/>
  <c r="AV25" i="4"/>
  <c r="BY24" i="4"/>
  <c r="BY15" i="4"/>
  <c r="BY19" i="4"/>
  <c r="AV8" i="4"/>
  <c r="AV19" i="4"/>
  <c r="S16" i="4"/>
  <c r="S5" i="4"/>
  <c r="BY17" i="4"/>
  <c r="BY16" i="4"/>
  <c r="BY21" i="4"/>
  <c r="BY9" i="4"/>
  <c r="AV4" i="4"/>
  <c r="S2" i="4"/>
  <c r="BY2" i="4"/>
  <c r="S23" i="4"/>
  <c r="S24" i="4"/>
  <c r="S17" i="4"/>
  <c r="S19" i="4"/>
  <c r="S7" i="4"/>
  <c r="AV18" i="4"/>
  <c r="S6" i="4"/>
  <c r="BY14" i="4"/>
  <c r="BY13" i="4"/>
  <c r="AV2" i="4"/>
  <c r="AV9" i="4"/>
  <c r="BN72" i="4"/>
  <c r="BN57" i="4"/>
  <c r="AR71" i="4"/>
  <c r="AR76" i="4" s="1"/>
  <c r="BY20" i="4"/>
  <c r="AV20" i="4"/>
  <c r="AV23" i="4"/>
  <c r="BY6" i="4"/>
  <c r="AV17" i="4"/>
  <c r="S13" i="4"/>
  <c r="AV6" i="4"/>
  <c r="BY18" i="4"/>
  <c r="AV3" i="4"/>
  <c r="AV7" i="4"/>
  <c r="AT21" i="4"/>
  <c r="BW18" i="4"/>
  <c r="O44" i="4"/>
  <c r="AV24" i="4"/>
  <c r="BY23" i="4"/>
  <c r="S20" i="4"/>
  <c r="S22" i="4"/>
  <c r="BY8" i="4"/>
  <c r="AV13" i="4"/>
  <c r="BY7" i="4"/>
  <c r="BY4" i="4"/>
  <c r="BY22" i="4"/>
  <c r="BY43" i="4"/>
  <c r="BB43" i="4"/>
  <c r="BY42" i="4"/>
  <c r="BB42" i="4"/>
  <c r="CA41" i="4"/>
  <c r="BU53" i="4" s="1"/>
  <c r="BN52" i="4" s="1"/>
  <c r="AV41" i="4"/>
  <c r="AX37" i="4"/>
  <c r="CE36" i="4"/>
  <c r="U36" i="4"/>
  <c r="BY35" i="4"/>
  <c r="U33" i="4"/>
  <c r="BY32" i="4"/>
  <c r="CC14" i="4"/>
  <c r="AZ19" i="4"/>
  <c r="W19" i="4"/>
  <c r="CC5" i="4"/>
  <c r="W7" i="4"/>
  <c r="W15" i="4"/>
  <c r="W16" i="4"/>
  <c r="W3" i="4"/>
  <c r="BY71" i="4"/>
  <c r="BY76" i="4" s="1"/>
  <c r="BU71" i="4"/>
  <c r="BU74" i="4" s="1"/>
  <c r="BW17" i="4"/>
  <c r="AZ20" i="4"/>
  <c r="S33" i="4"/>
  <c r="S21" i="4"/>
  <c r="AV5" i="4"/>
  <c r="AZ3" i="4"/>
  <c r="AV16" i="4"/>
  <c r="CC19" i="4"/>
  <c r="BY5" i="4"/>
  <c r="W6" i="4"/>
  <c r="S18" i="4"/>
  <c r="S4" i="4"/>
  <c r="S8" i="4"/>
  <c r="AZ13" i="4"/>
  <c r="CE42" i="4"/>
  <c r="U42" i="4"/>
  <c r="Q46" i="4"/>
  <c r="Y46" i="4"/>
  <c r="U16" i="4"/>
  <c r="AX5" i="4"/>
  <c r="CA8" i="4"/>
  <c r="U19" i="4"/>
  <c r="BU22" i="4"/>
  <c r="O9" i="4"/>
  <c r="BU14" i="4"/>
  <c r="AR17" i="4"/>
  <c r="AX2" i="4"/>
  <c r="O3" i="4"/>
  <c r="CC43" i="4"/>
  <c r="BU43" i="4"/>
  <c r="AX43" i="4"/>
  <c r="Y43" i="4"/>
  <c r="CA42" i="4"/>
  <c r="Y42" i="4"/>
  <c r="BU41" i="4"/>
  <c r="AR41" i="4"/>
  <c r="CE37" i="4"/>
  <c r="AZ37" i="4"/>
  <c r="AR37" i="4"/>
  <c r="U37" i="4"/>
  <c r="BB36" i="4"/>
  <c r="W36" i="4"/>
  <c r="O36" i="4"/>
  <c r="CA35" i="4"/>
  <c r="BU35" i="4"/>
  <c r="Q35" i="4"/>
  <c r="BU34" i="4"/>
  <c r="AZ34" i="4"/>
  <c r="AR34" i="4"/>
  <c r="U34" i="4"/>
  <c r="CA33" i="4"/>
  <c r="W33" i="4"/>
  <c r="O33" i="4"/>
  <c r="BU32" i="4"/>
  <c r="Y32" i="4"/>
  <c r="W48" i="4"/>
  <c r="BB48" i="4"/>
  <c r="AV49" i="4"/>
  <c r="AV48" i="4"/>
  <c r="AZ25" i="4"/>
  <c r="CC23" i="4"/>
  <c r="CC13" i="4"/>
  <c r="CC4" i="4"/>
  <c r="AZ16" i="4"/>
  <c r="AZ14" i="4"/>
  <c r="CC16" i="4"/>
  <c r="W9" i="4"/>
  <c r="AZ9" i="4"/>
  <c r="AZ24" i="4"/>
  <c r="CC2" i="4"/>
  <c r="CC17" i="4"/>
  <c r="CC9" i="4"/>
  <c r="AZ17" i="4"/>
  <c r="AZ4" i="4"/>
  <c r="W18" i="4"/>
  <c r="W24" i="4"/>
  <c r="CC24" i="4"/>
  <c r="W20" i="4"/>
  <c r="AZ23" i="4"/>
  <c r="CE49" i="4"/>
  <c r="Q71" i="4"/>
  <c r="Q80" i="4" s="1"/>
  <c r="AV71" i="4"/>
  <c r="AV73" i="4" s="1"/>
  <c r="Y71" i="4"/>
  <c r="Y73" i="4" s="1"/>
  <c r="S71" i="4"/>
  <c r="S76" i="4" s="1"/>
  <c r="CC71" i="4"/>
  <c r="CC73" i="4" s="1"/>
  <c r="U71" i="4"/>
  <c r="U74" i="4" s="1"/>
  <c r="O71" i="4"/>
  <c r="O72" i="4" s="1"/>
  <c r="AT71" i="4"/>
  <c r="AT83" i="4" s="1"/>
  <c r="AZ22" i="4"/>
  <c r="BB19" i="4"/>
  <c r="Y22" i="4"/>
  <c r="CC20" i="4"/>
  <c r="W2" i="4"/>
  <c r="AZ18" i="4"/>
  <c r="CC18" i="4"/>
  <c r="AZ5" i="4"/>
  <c r="W22" i="4"/>
  <c r="W4" i="4"/>
  <c r="AZ2" i="4"/>
  <c r="CC7" i="4"/>
  <c r="AZ6" i="4"/>
  <c r="S43" i="4"/>
  <c r="AV42" i="4"/>
  <c r="S42" i="4"/>
  <c r="BY36" i="4"/>
  <c r="AV36" i="4"/>
  <c r="AV35" i="4"/>
  <c r="CC34" i="4"/>
  <c r="CE34" i="4"/>
  <c r="AV33" i="4"/>
  <c r="AV32" i="4"/>
  <c r="S32" i="4"/>
  <c r="W44" i="4"/>
  <c r="AR42" i="4"/>
  <c r="CA21" i="4"/>
  <c r="AX21" i="4"/>
  <c r="U15" i="4"/>
  <c r="CA22" i="4"/>
  <c r="AX20" i="4"/>
  <c r="CA16" i="4"/>
  <c r="U2" i="4"/>
  <c r="CA4" i="4"/>
  <c r="U3" i="4"/>
  <c r="AX22" i="4"/>
  <c r="U4" i="4"/>
  <c r="U20" i="4"/>
  <c r="O25" i="4"/>
  <c r="BU13" i="4"/>
  <c r="AR19" i="4"/>
  <c r="O16" i="4"/>
  <c r="BU7" i="4"/>
  <c r="BU21" i="4"/>
  <c r="O6" i="4"/>
  <c r="BU2" i="4"/>
  <c r="O4" i="4"/>
  <c r="BU17" i="4"/>
  <c r="AR20" i="4"/>
  <c r="AX71" i="4"/>
  <c r="AX78" i="4" s="1"/>
  <c r="O21" i="4"/>
  <c r="CA14" i="4"/>
  <c r="U5" i="4"/>
  <c r="AX23" i="4"/>
  <c r="AX19" i="4"/>
  <c r="U18" i="4"/>
  <c r="AR24" i="4"/>
  <c r="O2" i="4"/>
  <c r="BU9" i="4"/>
  <c r="CC21" i="4"/>
  <c r="O15" i="4"/>
  <c r="BU24" i="4"/>
  <c r="U7" i="4"/>
  <c r="U8" i="4"/>
  <c r="Y23" i="4"/>
  <c r="O17" i="4"/>
  <c r="CC6" i="4"/>
  <c r="CC15" i="4"/>
  <c r="AZ8" i="4"/>
  <c r="AZ15" i="4"/>
  <c r="CC22" i="4"/>
  <c r="AZ21" i="4"/>
  <c r="AR2" i="4"/>
  <c r="CC8" i="4"/>
  <c r="AR14" i="4"/>
  <c r="AZ7" i="4"/>
  <c r="O13" i="4"/>
  <c r="CA32" i="4"/>
  <c r="AZ71" i="4"/>
  <c r="AZ73" i="4" s="1"/>
  <c r="S46" i="4"/>
  <c r="U46" i="4"/>
  <c r="AR46" i="4"/>
  <c r="AV47" i="4"/>
  <c r="BY44" i="4"/>
  <c r="BY45" i="4"/>
  <c r="CA46" i="4"/>
  <c r="BY47" i="4"/>
  <c r="BU63" i="4"/>
  <c r="O48" i="4"/>
  <c r="AX48" i="4"/>
  <c r="AZ48" i="4"/>
  <c r="U43" i="4"/>
  <c r="BW42" i="4"/>
  <c r="BY41" i="4"/>
  <c r="CA37" i="4"/>
  <c r="AX36" i="4"/>
  <c r="CE32" i="4"/>
  <c r="U32" i="4"/>
  <c r="AT43" i="4"/>
  <c r="O46" i="4"/>
  <c r="S47" i="4"/>
  <c r="U47" i="4"/>
  <c r="BB46" i="4"/>
  <c r="BU45" i="4"/>
  <c r="CC45" i="4"/>
  <c r="BW46" i="4"/>
  <c r="CE46" i="4"/>
  <c r="CA47" i="4"/>
  <c r="S49" i="4"/>
  <c r="U49" i="4"/>
  <c r="BB49" i="4"/>
  <c r="Q31" i="3"/>
  <c r="Q26" i="3"/>
  <c r="Q30" i="3"/>
  <c r="BS25" i="3"/>
  <c r="CA15" i="3"/>
  <c r="CA4" i="3"/>
  <c r="CA7" i="3"/>
  <c r="Y11" i="3"/>
  <c r="AZ12" i="3"/>
  <c r="Y6" i="3"/>
  <c r="AZ8" i="3"/>
  <c r="Y13" i="3"/>
  <c r="AZ2" i="3"/>
  <c r="AZ6" i="3"/>
  <c r="Y2" i="3"/>
  <c r="AZ10" i="3"/>
  <c r="CA13" i="3"/>
  <c r="CA6" i="3"/>
  <c r="AZ9" i="3"/>
  <c r="AZ14" i="3"/>
  <c r="W46" i="4"/>
  <c r="AZ49" i="4"/>
  <c r="BW44" i="4"/>
  <c r="AX32" i="4"/>
  <c r="AX42" i="4"/>
  <c r="AR28" i="3"/>
  <c r="Y12" i="3"/>
  <c r="Y9" i="3"/>
  <c r="CA5" i="3"/>
  <c r="BQ68" i="3"/>
  <c r="BQ70" i="3"/>
  <c r="O15" i="3"/>
  <c r="BQ10" i="3"/>
  <c r="AP4" i="3"/>
  <c r="AP8" i="3"/>
  <c r="O10" i="3"/>
  <c r="BQ11" i="3"/>
  <c r="AP5" i="3"/>
  <c r="O49" i="4"/>
  <c r="Y36" i="4"/>
  <c r="W34" i="4"/>
  <c r="W4" i="3"/>
  <c r="AP2" i="3"/>
  <c r="AR29" i="3"/>
  <c r="CA12" i="3"/>
  <c r="Q29" i="3"/>
  <c r="BU28" i="3"/>
  <c r="S30" i="3"/>
  <c r="AZ11" i="3"/>
  <c r="Y7" i="3"/>
  <c r="AZ5" i="3"/>
  <c r="AZ43" i="4"/>
  <c r="AZ42" i="4"/>
  <c r="W41" i="4"/>
  <c r="CC36" i="4"/>
  <c r="AR32" i="4"/>
  <c r="CE33" i="4"/>
  <c r="BB45" i="4"/>
  <c r="Y41" i="4"/>
  <c r="BT28" i="4"/>
  <c r="BB25" i="4"/>
  <c r="BB16" i="4"/>
  <c r="CE15" i="4"/>
  <c r="AP87" i="3"/>
  <c r="AP86" i="3"/>
  <c r="AP93" i="3"/>
  <c r="AP89" i="3"/>
  <c r="AP90" i="3"/>
  <c r="W49" i="4"/>
  <c r="BU48" i="4"/>
  <c r="BW49" i="4"/>
  <c r="W71" i="4"/>
  <c r="W74" i="4" s="1"/>
  <c r="CE71" i="4"/>
  <c r="CE73" i="4" s="1"/>
  <c r="BB71" i="4"/>
  <c r="BB72" i="4" s="1"/>
  <c r="CA69" i="3"/>
  <c r="CA66" i="3"/>
  <c r="CA71" i="3"/>
  <c r="CA72" i="3"/>
  <c r="AV70" i="3"/>
  <c r="AV73" i="3"/>
  <c r="AV76" i="3"/>
  <c r="Q73" i="3"/>
  <c r="Q76" i="3"/>
  <c r="Q8" i="3"/>
  <c r="Q2" i="3"/>
  <c r="BS9" i="3"/>
  <c r="Q6" i="3"/>
  <c r="W42" i="4"/>
  <c r="W32" i="4"/>
  <c r="AZ36" i="4"/>
  <c r="AZ44" i="4"/>
  <c r="AZ33" i="4"/>
  <c r="CC47" i="4"/>
  <c r="CC37" i="4"/>
  <c r="O42" i="4"/>
  <c r="O35" i="4"/>
  <c r="O43" i="4"/>
  <c r="AZ46" i="4"/>
  <c r="CC49" i="4"/>
  <c r="O47" i="4"/>
  <c r="BB34" i="4"/>
  <c r="CA36" i="4"/>
  <c r="CC48" i="4"/>
  <c r="AR45" i="4"/>
  <c r="CC35" i="4"/>
  <c r="O32" i="4"/>
  <c r="BY70" i="3"/>
  <c r="BY69" i="3"/>
  <c r="BY72" i="3"/>
  <c r="BY66" i="3"/>
  <c r="BY65" i="3"/>
  <c r="AT66" i="3"/>
  <c r="AT74" i="3"/>
  <c r="Q28" i="3"/>
  <c r="CA10" i="3"/>
  <c r="Y3" i="3"/>
  <c r="W14" i="3"/>
  <c r="W9" i="3"/>
  <c r="BY3" i="3"/>
  <c r="W47" i="4"/>
  <c r="AV44" i="4"/>
  <c r="AZ45" i="4"/>
  <c r="AR47" i="4"/>
  <c r="AZ84" i="4"/>
  <c r="BU49" i="4"/>
  <c r="O41" i="4"/>
  <c r="AZ32" i="4"/>
  <c r="W43" i="4"/>
  <c r="Q13" i="3"/>
  <c r="BY33" i="4"/>
  <c r="CA14" i="3"/>
  <c r="CA11" i="3"/>
  <c r="AZ3" i="3"/>
  <c r="BY74" i="3"/>
  <c r="Y71" i="3"/>
  <c r="CA2" i="3"/>
  <c r="AX25" i="4"/>
  <c r="U22" i="4"/>
  <c r="AX17" i="4"/>
  <c r="AX13" i="4"/>
  <c r="AX9" i="4"/>
  <c r="AX24" i="4"/>
  <c r="CA13" i="4"/>
  <c r="CA18" i="4"/>
  <c r="CA9" i="4"/>
  <c r="CA7" i="4"/>
  <c r="CA2" i="4"/>
  <c r="AX16" i="4"/>
  <c r="U13" i="4"/>
  <c r="AX4" i="4"/>
  <c r="AX15" i="4"/>
  <c r="CA24" i="4"/>
  <c r="CA5" i="4"/>
  <c r="U14" i="4"/>
  <c r="AX14" i="4"/>
  <c r="BU25" i="4"/>
  <c r="AR15" i="4"/>
  <c r="O18" i="4"/>
  <c r="AR7" i="4"/>
  <c r="AR16" i="4"/>
  <c r="AR3" i="4"/>
  <c r="AR22" i="4"/>
  <c r="BU5" i="4"/>
  <c r="BU15" i="4"/>
  <c r="O7" i="4"/>
  <c r="AR8" i="4"/>
  <c r="BU18" i="4"/>
  <c r="AR13" i="4"/>
  <c r="BU16" i="4"/>
  <c r="AR9" i="4"/>
  <c r="BJ25" i="3"/>
  <c r="Q87" i="3"/>
  <c r="Q95" i="3"/>
  <c r="Q86" i="3"/>
  <c r="Q92" i="3"/>
  <c r="BU84" i="3"/>
  <c r="BU93" i="3"/>
  <c r="BU88" i="3"/>
  <c r="BU89" i="3"/>
  <c r="Q43" i="4"/>
  <c r="Q41" i="4"/>
  <c r="S37" i="4"/>
  <c r="BW36" i="4"/>
  <c r="AR36" i="4"/>
  <c r="CE35" i="4"/>
  <c r="BB35" i="4"/>
  <c r="W35" i="4"/>
  <c r="CA34" i="4"/>
  <c r="AX34" i="4"/>
  <c r="S34" i="4"/>
  <c r="BW33" i="4"/>
  <c r="AR33" i="4"/>
  <c r="BB32" i="4"/>
  <c r="CA74" i="4"/>
  <c r="Q78" i="4"/>
  <c r="Y21" i="4"/>
  <c r="BW16" i="4"/>
  <c r="Q15" i="4"/>
  <c r="BW45" i="4"/>
  <c r="Y2" i="4"/>
  <c r="CE23" i="4"/>
  <c r="BB22" i="4"/>
  <c r="BB4" i="4"/>
  <c r="CE22" i="4"/>
  <c r="Y8" i="4"/>
  <c r="Q3" i="4"/>
  <c r="Q32" i="4"/>
  <c r="BS3" i="3"/>
  <c r="BY13" i="3"/>
  <c r="W11" i="3"/>
  <c r="BQ73" i="3"/>
  <c r="W69" i="3"/>
  <c r="BY93" i="3"/>
  <c r="BY90" i="3"/>
  <c r="BW25" i="3"/>
  <c r="Y73" i="3"/>
  <c r="BQ69" i="3"/>
  <c r="CA43" i="4"/>
  <c r="AV43" i="4"/>
  <c r="BU42" i="4"/>
  <c r="AZ41" i="4"/>
  <c r="S41" i="4"/>
  <c r="BW37" i="4"/>
  <c r="BU36" i="4"/>
  <c r="BY34" i="4"/>
  <c r="BU33" i="4"/>
  <c r="Y33" i="4"/>
  <c r="AQ53" i="4"/>
  <c r="W5" i="4"/>
  <c r="BU23" i="4"/>
  <c r="AR48" i="4"/>
  <c r="AR49" i="4"/>
  <c r="BY48" i="4"/>
  <c r="AR23" i="4"/>
  <c r="Q6" i="4"/>
  <c r="Q33" i="4"/>
  <c r="CE4" i="4"/>
  <c r="Y9" i="4"/>
  <c r="CE21" i="4"/>
  <c r="CE17" i="4"/>
  <c r="BY37" i="4"/>
  <c r="AX44" i="4"/>
  <c r="BY8" i="3"/>
  <c r="BY9" i="3"/>
  <c r="AX10" i="3"/>
  <c r="BW34" i="4"/>
  <c r="CA78" i="4"/>
  <c r="Q48" i="4"/>
  <c r="AT33" i="4"/>
  <c r="Q44" i="4"/>
  <c r="CE8" i="4"/>
  <c r="Y18" i="4"/>
  <c r="BY88" i="3"/>
  <c r="W10" i="3"/>
  <c r="W6" i="3"/>
  <c r="Y49" i="4"/>
  <c r="CC25" i="4"/>
  <c r="BW48" i="4"/>
  <c r="CE24" i="4"/>
  <c r="Q42" i="4"/>
  <c r="AT47" i="4"/>
  <c r="Q13" i="4"/>
  <c r="CE2" i="4"/>
  <c r="BW35" i="4"/>
  <c r="AT24" i="4"/>
  <c r="BB6" i="4"/>
  <c r="Y19" i="4"/>
  <c r="U41" i="4"/>
  <c r="BY5" i="3"/>
  <c r="AX9" i="3"/>
  <c r="CA82" i="4"/>
  <c r="CA80" i="4"/>
  <c r="BB24" i="4"/>
  <c r="BW43" i="4"/>
  <c r="AT35" i="4"/>
  <c r="BW5" i="4"/>
  <c r="BW15" i="4"/>
  <c r="BW41" i="4"/>
  <c r="Y17" i="4"/>
  <c r="Y5" i="4"/>
  <c r="Y15" i="4"/>
  <c r="CE6" i="4"/>
  <c r="BB3" i="4"/>
  <c r="BB8" i="4"/>
  <c r="AX45" i="4"/>
  <c r="CE3" i="4"/>
  <c r="AX14" i="3"/>
  <c r="AR5" i="3"/>
  <c r="AX6" i="3"/>
  <c r="W3" i="3"/>
  <c r="BQ65" i="3"/>
  <c r="AX3" i="3"/>
  <c r="BW27" i="3"/>
  <c r="BY91" i="3"/>
  <c r="CA27" i="3"/>
  <c r="BY12" i="3"/>
  <c r="CA65" i="3"/>
  <c r="S6" i="3"/>
  <c r="BY2" i="3"/>
  <c r="AT41" i="4"/>
  <c r="BB37" i="4"/>
  <c r="AR35" i="4"/>
  <c r="Y31" i="3"/>
  <c r="CA84" i="4"/>
  <c r="Q47" i="4"/>
  <c r="BB18" i="4"/>
  <c r="CE20" i="4"/>
  <c r="BW7" i="4"/>
  <c r="Q20" i="4"/>
  <c r="Y3" i="4"/>
  <c r="BB23" i="4"/>
  <c r="BB9" i="4"/>
  <c r="BB21" i="4"/>
  <c r="Q22" i="4"/>
  <c r="AX12" i="3"/>
  <c r="CA77" i="4"/>
  <c r="CA83" i="4"/>
  <c r="CE7" i="4"/>
  <c r="AT45" i="4"/>
  <c r="AT6" i="4"/>
  <c r="Q19" i="4"/>
  <c r="BB20" i="4"/>
  <c r="BB2" i="4"/>
  <c r="BB15" i="4"/>
  <c r="Y13" i="4"/>
  <c r="CE19" i="4"/>
  <c r="CE5" i="4"/>
  <c r="BB17" i="4"/>
  <c r="Y7" i="4"/>
  <c r="AR14" i="3"/>
  <c r="W5" i="3"/>
  <c r="BQ67" i="3"/>
  <c r="BQ66" i="3"/>
  <c r="AR6" i="3"/>
  <c r="AZ27" i="3"/>
  <c r="U27" i="3"/>
  <c r="BU25" i="3"/>
  <c r="AV72" i="3"/>
  <c r="S67" i="3"/>
  <c r="S10" i="3"/>
  <c r="BU2" i="3"/>
  <c r="Y14" i="3"/>
  <c r="CC42" i="4"/>
  <c r="CA45" i="4"/>
  <c r="CA81" i="4"/>
  <c r="CA75" i="4"/>
  <c r="Q49" i="4"/>
  <c r="AT48" i="4"/>
  <c r="BB13" i="4"/>
  <c r="BW32" i="4"/>
  <c r="AT36" i="4"/>
  <c r="AT14" i="4"/>
  <c r="Q2" i="4"/>
  <c r="AT42" i="4"/>
  <c r="AT32" i="4"/>
  <c r="Y6" i="4"/>
  <c r="BB7" i="4"/>
  <c r="CE14" i="4"/>
  <c r="BB5" i="4"/>
  <c r="Y20" i="4"/>
  <c r="BU46" i="4"/>
  <c r="Y24" i="4"/>
  <c r="Y14" i="4"/>
  <c r="AX4" i="3"/>
  <c r="AX2" i="3"/>
  <c r="BY7" i="3"/>
  <c r="AZ26" i="3"/>
  <c r="BW30" i="3"/>
  <c r="AV29" i="3"/>
  <c r="W37" i="4"/>
  <c r="Q45" i="4"/>
  <c r="U45" i="4"/>
  <c r="AV45" i="4"/>
  <c r="AX46" i="4"/>
  <c r="AZ47" i="4"/>
  <c r="CC44" i="4"/>
  <c r="CE45" i="4"/>
  <c r="BU47" i="4"/>
  <c r="CA85" i="4"/>
  <c r="CA79" i="4"/>
  <c r="CA72" i="4"/>
  <c r="BB14" i="4"/>
  <c r="Q36" i="4"/>
  <c r="AT46" i="4"/>
  <c r="AT13" i="4"/>
  <c r="BW14" i="4"/>
  <c r="Y4" i="4"/>
  <c r="CE13" i="4"/>
  <c r="CE18" i="4"/>
  <c r="CE9" i="4"/>
  <c r="BY14" i="3"/>
  <c r="BY11" i="3"/>
  <c r="BQ71" i="3"/>
  <c r="BY10" i="3"/>
  <c r="W8" i="3"/>
  <c r="BY6" i="3"/>
  <c r="Y74" i="3"/>
  <c r="Y68" i="3"/>
  <c r="Y66" i="3"/>
  <c r="S12" i="3"/>
  <c r="CA9" i="3"/>
  <c r="BU6" i="3"/>
  <c r="AX5" i="3"/>
  <c r="W2" i="3"/>
  <c r="W13" i="3"/>
  <c r="AQ28" i="4"/>
  <c r="AR28" i="4" s="1"/>
  <c r="AK21" i="4" s="1"/>
  <c r="AR50" i="3"/>
  <c r="C25" i="5"/>
  <c r="Y60" i="4"/>
  <c r="AR89" i="3"/>
  <c r="AR90" i="3"/>
  <c r="AR93" i="3"/>
  <c r="AR84" i="3"/>
  <c r="AR91" i="3"/>
  <c r="CC81" i="4"/>
  <c r="S48" i="4"/>
  <c r="U48" i="4"/>
  <c r="BY49" i="4"/>
  <c r="CA49" i="4"/>
  <c r="CE44" i="4"/>
  <c r="AT49" i="4"/>
  <c r="BW9" i="4"/>
  <c r="AV14" i="3"/>
  <c r="AR83" i="3"/>
  <c r="BB79" i="4"/>
  <c r="BB47" i="4"/>
  <c r="BW47" i="4"/>
  <c r="S45" i="4"/>
  <c r="O45" i="4"/>
  <c r="O66" i="3"/>
  <c r="O71" i="3"/>
  <c r="O73" i="3"/>
  <c r="O69" i="3"/>
  <c r="O70" i="3"/>
  <c r="O68" i="3"/>
  <c r="AP76" i="3"/>
  <c r="AP66" i="3"/>
  <c r="AP68" i="3"/>
  <c r="AP74" i="3"/>
  <c r="AP69" i="3"/>
  <c r="AP70" i="3"/>
  <c r="AP71" i="3"/>
  <c r="AP72" i="3"/>
  <c r="AZ31" i="3"/>
  <c r="CA28" i="3"/>
  <c r="Y27" i="3"/>
  <c r="CA31" i="3"/>
  <c r="AZ29" i="3"/>
  <c r="Y29" i="3"/>
  <c r="Y26" i="3"/>
  <c r="Y30" i="3"/>
  <c r="AZ28" i="3"/>
  <c r="Y28" i="3"/>
  <c r="CA30" i="3"/>
  <c r="Y25" i="3"/>
  <c r="CA29" i="3"/>
  <c r="CA25" i="3"/>
  <c r="W45" i="4"/>
  <c r="Y45" i="4"/>
  <c r="AT44" i="4"/>
  <c r="AR44" i="4"/>
  <c r="BW74" i="4"/>
  <c r="BW81" i="4"/>
  <c r="BW76" i="4"/>
  <c r="BW75" i="4"/>
  <c r="BW72" i="4"/>
  <c r="O74" i="3"/>
  <c r="AZ25" i="3"/>
  <c r="AR85" i="3"/>
  <c r="O76" i="3"/>
  <c r="CA26" i="3"/>
  <c r="BW3" i="3"/>
  <c r="BW5" i="3"/>
  <c r="AV8" i="3"/>
  <c r="AV13" i="3"/>
  <c r="BW4" i="3"/>
  <c r="U4" i="3"/>
  <c r="AV10" i="3"/>
  <c r="BW2" i="3"/>
  <c r="U6" i="3"/>
  <c r="BW8" i="3"/>
  <c r="BW11" i="3"/>
  <c r="BW7" i="3"/>
  <c r="U10" i="3"/>
  <c r="U13" i="3"/>
  <c r="U3" i="3"/>
  <c r="U12" i="3"/>
  <c r="AV12" i="3"/>
  <c r="U14" i="3"/>
  <c r="CE41" i="4"/>
  <c r="CC41" i="4"/>
  <c r="AV37" i="4"/>
  <c r="AT37" i="4"/>
  <c r="O37" i="4"/>
  <c r="Q37" i="4"/>
  <c r="AX35" i="4"/>
  <c r="AZ35" i="4"/>
  <c r="U35" i="4"/>
  <c r="S35" i="4"/>
  <c r="AV34" i="4"/>
  <c r="AT34" i="4"/>
  <c r="O34" i="4"/>
  <c r="Q34" i="4"/>
  <c r="BW25" i="4"/>
  <c r="Q21" i="4"/>
  <c r="AT17" i="4"/>
  <c r="Q14" i="4"/>
  <c r="AT16" i="4"/>
  <c r="BW2" i="4"/>
  <c r="BW8" i="4"/>
  <c r="BW21" i="4"/>
  <c r="AT23" i="4"/>
  <c r="Q9" i="4"/>
  <c r="Q5" i="4"/>
  <c r="Q4" i="4"/>
  <c r="BW24" i="4"/>
  <c r="AT15" i="4"/>
  <c r="Q16" i="4"/>
  <c r="AT4" i="4"/>
  <c r="AT25" i="4"/>
  <c r="Q25" i="4"/>
  <c r="AT2" i="4"/>
  <c r="Q17" i="4"/>
  <c r="BW20" i="4"/>
  <c r="BW4" i="4"/>
  <c r="AT22" i="4"/>
  <c r="Q7" i="4"/>
  <c r="BW23" i="4"/>
  <c r="Q18" i="4"/>
  <c r="BW3" i="4"/>
  <c r="BW22" i="4"/>
  <c r="AT18" i="4"/>
  <c r="Q24" i="4"/>
  <c r="BW13" i="4"/>
  <c r="BW19" i="4"/>
  <c r="AT5" i="4"/>
  <c r="AT9" i="4"/>
  <c r="Q8" i="4"/>
  <c r="BW6" i="4"/>
  <c r="AT3" i="4"/>
  <c r="Q23" i="4"/>
  <c r="AT19" i="4"/>
  <c r="AT7" i="4"/>
  <c r="AT20" i="4"/>
  <c r="BW91" i="3"/>
  <c r="BW90" i="3"/>
  <c r="BW85" i="3"/>
  <c r="BW88" i="3"/>
  <c r="BW89" i="3"/>
  <c r="BW84" i="3"/>
  <c r="BW73" i="4"/>
  <c r="W72" i="3"/>
  <c r="O3" i="3"/>
  <c r="BQ8" i="3"/>
  <c r="BQ26" i="3"/>
  <c r="AP10" i="3"/>
  <c r="AP11" i="3"/>
  <c r="CA74" i="3"/>
  <c r="AZ72" i="3"/>
  <c r="CA67" i="3"/>
  <c r="AT71" i="3"/>
  <c r="AT69" i="3"/>
  <c r="CE16" i="4"/>
  <c r="Q91" i="3"/>
  <c r="O23" i="4"/>
  <c r="BY25" i="4"/>
  <c r="AP6" i="3"/>
  <c r="BQ27" i="3"/>
  <c r="S27" i="3"/>
  <c r="O11" i="3"/>
  <c r="AZ71" i="3"/>
  <c r="AZ66" i="3"/>
  <c r="CA68" i="3"/>
  <c r="AT27" i="3"/>
  <c r="AP83" i="3"/>
  <c r="O62" i="4"/>
  <c r="AP57" i="3"/>
  <c r="AR25" i="4"/>
  <c r="CA25" i="4"/>
  <c r="W74" i="3"/>
  <c r="O9" i="3"/>
  <c r="AP3" i="3"/>
  <c r="O30" i="3"/>
  <c r="AP9" i="3"/>
  <c r="O5" i="3"/>
  <c r="AZ76" i="3"/>
  <c r="CA73" i="3"/>
  <c r="AV71" i="3"/>
  <c r="AV68" i="3"/>
  <c r="AV67" i="3"/>
  <c r="AV66" i="3"/>
  <c r="AV69" i="3"/>
  <c r="BP35" i="3"/>
  <c r="CE25" i="4"/>
  <c r="BQ3" i="3"/>
  <c r="BQ13" i="3"/>
  <c r="BQ2" i="3"/>
  <c r="W73" i="3"/>
  <c r="Y72" i="3"/>
  <c r="Y67" i="3"/>
  <c r="AR66" i="3"/>
  <c r="AR69" i="3"/>
  <c r="W67" i="3"/>
  <c r="AX7" i="3"/>
  <c r="BY4" i="3"/>
  <c r="H29" i="4"/>
  <c r="S25" i="4"/>
  <c r="CA73" i="4"/>
  <c r="U25" i="4"/>
  <c r="W15" i="3"/>
  <c r="S81" i="4"/>
  <c r="BY67" i="3"/>
  <c r="BY73" i="3"/>
  <c r="W12" i="3"/>
  <c r="O6" i="3"/>
  <c r="BQ9" i="3"/>
  <c r="BQ14" i="3"/>
  <c r="BQ4" i="3"/>
  <c r="Y76" i="3"/>
  <c r="AR74" i="3"/>
  <c r="Q67" i="3"/>
  <c r="Y70" i="3"/>
  <c r="AX8" i="3"/>
  <c r="W7" i="3"/>
  <c r="O90" i="3"/>
  <c r="W91" i="3"/>
  <c r="AR63" i="4"/>
  <c r="W25" i="4"/>
  <c r="BQ86" i="3"/>
  <c r="BP97" i="3"/>
  <c r="BQ97" i="3" s="1"/>
  <c r="AX13" i="3"/>
  <c r="Y25" i="4"/>
  <c r="AP15" i="3"/>
  <c r="AI79" i="3"/>
  <c r="BY56" i="3"/>
  <c r="BY45" i="3"/>
  <c r="AE45" i="3"/>
  <c r="AC60" i="4"/>
  <c r="CG46" i="3"/>
  <c r="AE56" i="3"/>
  <c r="BW50" i="3"/>
  <c r="AC57" i="3"/>
  <c r="BW52" i="3"/>
  <c r="AX48" i="3"/>
  <c r="AC43" i="3"/>
  <c r="AC63" i="4"/>
  <c r="BU71" i="3"/>
  <c r="BU74" i="3"/>
  <c r="BU68" i="3"/>
  <c r="O56" i="3"/>
  <c r="BW72" i="3"/>
  <c r="S72" i="3"/>
  <c r="S71" i="3"/>
  <c r="S70" i="3"/>
  <c r="BS68" i="3"/>
  <c r="BS65" i="3"/>
  <c r="BS67" i="3"/>
  <c r="BS72" i="3"/>
  <c r="BS69" i="3"/>
  <c r="AV31" i="3"/>
  <c r="BW31" i="3"/>
  <c r="U25" i="3"/>
  <c r="AV27" i="3"/>
  <c r="BS26" i="3"/>
  <c r="BU66" i="3"/>
  <c r="BW28" i="3"/>
  <c r="BS27" i="3"/>
  <c r="O26" i="3"/>
  <c r="AV26" i="3"/>
  <c r="BU72" i="3"/>
  <c r="BS71" i="3"/>
  <c r="Q72" i="3"/>
  <c r="Q71" i="3"/>
  <c r="AR68" i="3"/>
  <c r="S66" i="3"/>
  <c r="Q70" i="3"/>
  <c r="O28" i="3"/>
  <c r="AP25" i="3"/>
  <c r="BU31" i="3"/>
  <c r="S26" i="3"/>
  <c r="S28" i="3"/>
  <c r="S29" i="3"/>
  <c r="AT28" i="3"/>
  <c r="BW15" i="3"/>
  <c r="AV11" i="3"/>
  <c r="BW9" i="3"/>
  <c r="BW13" i="3"/>
  <c r="U8" i="3"/>
  <c r="U2" i="3"/>
  <c r="AV5" i="3"/>
  <c r="AV4" i="3"/>
  <c r="U7" i="3"/>
  <c r="BW10" i="3"/>
  <c r="BW14" i="3"/>
  <c r="O93" i="3"/>
  <c r="Q4" i="3"/>
  <c r="BS7" i="3"/>
  <c r="AR10" i="3"/>
  <c r="Q3" i="3"/>
  <c r="AI42" i="3"/>
  <c r="AI66" i="3"/>
  <c r="BW73" i="3"/>
  <c r="BW65" i="3"/>
  <c r="AV85" i="3"/>
  <c r="AV93" i="3"/>
  <c r="AV90" i="3"/>
  <c r="AV89" i="3"/>
  <c r="W31" i="3"/>
  <c r="BY25" i="3"/>
  <c r="AT68" i="3"/>
  <c r="BW66" i="3"/>
  <c r="AR31" i="3"/>
  <c r="Q25" i="3"/>
  <c r="AR25" i="3"/>
  <c r="BS30" i="3"/>
  <c r="BS31" i="3"/>
  <c r="BS85" i="3"/>
  <c r="BS90" i="3"/>
  <c r="U31" i="3"/>
  <c r="BW29" i="3"/>
  <c r="AV83" i="3"/>
  <c r="BY27" i="3"/>
  <c r="BU73" i="3"/>
  <c r="AT70" i="3"/>
  <c r="Q69" i="3"/>
  <c r="U28" i="3"/>
  <c r="AX93" i="3"/>
  <c r="AR70" i="3"/>
  <c r="BW68" i="3"/>
  <c r="Q27" i="3"/>
  <c r="U11" i="3"/>
  <c r="AV7" i="3"/>
  <c r="AV6" i="3"/>
  <c r="AV3" i="3"/>
  <c r="AV2" i="3"/>
  <c r="BP19" i="3"/>
  <c r="N19" i="3"/>
  <c r="O7" i="3"/>
  <c r="BQ6" i="3"/>
  <c r="BQ5" i="3"/>
  <c r="BQ7" i="3"/>
  <c r="BQ15" i="3"/>
  <c r="AP13" i="3"/>
  <c r="S57" i="3"/>
  <c r="S49" i="3"/>
  <c r="AR88" i="3"/>
  <c r="AR87" i="3"/>
  <c r="AR86" i="3"/>
  <c r="AV84" i="3"/>
  <c r="BU65" i="3"/>
  <c r="W28" i="3"/>
  <c r="W30" i="3"/>
  <c r="AX29" i="3"/>
  <c r="AT76" i="3"/>
  <c r="Q66" i="3"/>
  <c r="S3" i="3"/>
  <c r="AT4" i="3"/>
  <c r="BU12" i="3"/>
  <c r="BU8" i="3"/>
  <c r="BU14" i="3"/>
  <c r="S7" i="3"/>
  <c r="AT10" i="3"/>
  <c r="BU4" i="3"/>
  <c r="AT6" i="3"/>
  <c r="BU7" i="3"/>
  <c r="BU11" i="3"/>
  <c r="AT72" i="3"/>
  <c r="AT67" i="3"/>
  <c r="AR27" i="3"/>
  <c r="AV28" i="3"/>
  <c r="BY29" i="3"/>
  <c r="AR76" i="3"/>
  <c r="BS66" i="3"/>
  <c r="BS29" i="3"/>
  <c r="AO19" i="3"/>
  <c r="AX91" i="3"/>
  <c r="BS12" i="3"/>
  <c r="AV91" i="3"/>
  <c r="BW74" i="3"/>
  <c r="BS73" i="3"/>
  <c r="S74" i="3"/>
  <c r="S73" i="3"/>
  <c r="BW70" i="3"/>
  <c r="AR71" i="3"/>
  <c r="BW67" i="3"/>
  <c r="W70" i="3"/>
  <c r="W71" i="3"/>
  <c r="AX90" i="3"/>
  <c r="BS8" i="3"/>
  <c r="BS93" i="3"/>
  <c r="BS28" i="3"/>
  <c r="W66" i="3"/>
  <c r="BW26" i="3"/>
  <c r="AP91" i="3"/>
  <c r="BQ88" i="3"/>
  <c r="Q93" i="3"/>
  <c r="BU9" i="3"/>
  <c r="BW6" i="3"/>
  <c r="BW12" i="3"/>
  <c r="AV9" i="3"/>
  <c r="AP12" i="3"/>
  <c r="AR26" i="3"/>
  <c r="BQ12" i="3"/>
  <c r="O8" i="3"/>
  <c r="BS74" i="3"/>
  <c r="W76" i="3"/>
  <c r="AZ74" i="3"/>
  <c r="Q74" i="3"/>
  <c r="AR72" i="3"/>
  <c r="BU70" i="3"/>
  <c r="BU67" i="3"/>
  <c r="S68" i="3"/>
  <c r="BW69" i="3"/>
  <c r="AZ69" i="3"/>
  <c r="BY68" i="3"/>
  <c r="BY71" i="3"/>
  <c r="U66" i="3"/>
  <c r="U68" i="3"/>
  <c r="U72" i="3"/>
  <c r="U69" i="3"/>
  <c r="O29" i="3"/>
  <c r="AR12" i="3"/>
  <c r="Q11" i="3"/>
  <c r="AP7" i="3"/>
  <c r="U5" i="3"/>
  <c r="AR2" i="3"/>
  <c r="AZ15" i="3"/>
  <c r="AT88" i="3"/>
  <c r="AO35" i="3"/>
  <c r="BQ56" i="3"/>
  <c r="AZ13" i="3"/>
  <c r="AP67" i="3"/>
  <c r="O67" i="3"/>
  <c r="Y8" i="3"/>
  <c r="Y4" i="3"/>
  <c r="Y10" i="3"/>
  <c r="AZ7" i="3"/>
  <c r="Y5" i="3"/>
  <c r="BS55" i="3"/>
  <c r="BY15" i="3"/>
  <c r="AR44" i="3"/>
  <c r="AR48" i="3"/>
  <c r="W46" i="3"/>
  <c r="AC55" i="3"/>
  <c r="AV51" i="3"/>
  <c r="AA64" i="4"/>
  <c r="BS56" i="3"/>
  <c r="AA50" i="3"/>
  <c r="BS44" i="3"/>
  <c r="AE49" i="3"/>
  <c r="AR51" i="3"/>
  <c r="BS43" i="3"/>
  <c r="AA57" i="4"/>
  <c r="CI64" i="4"/>
  <c r="AE57" i="3"/>
  <c r="AE47" i="3"/>
  <c r="AV50" i="3"/>
  <c r="W49" i="3"/>
  <c r="AE55" i="3"/>
  <c r="AR56" i="3"/>
  <c r="U44" i="3"/>
  <c r="BY46" i="3"/>
  <c r="B20" i="4"/>
  <c r="W42" i="3"/>
  <c r="BB46" i="3"/>
  <c r="BL19" i="3"/>
  <c r="BM19" i="3" s="1"/>
  <c r="BB52" i="3"/>
  <c r="BB51" i="3"/>
  <c r="J21" i="3"/>
  <c r="K21" i="3" s="1"/>
  <c r="CG61" i="4"/>
  <c r="CA43" i="3"/>
  <c r="BB57" i="3"/>
  <c r="J59" i="3"/>
  <c r="BW56" i="3"/>
  <c r="CG60" i="4"/>
  <c r="CA52" i="3"/>
  <c r="AE63" i="4"/>
  <c r="CG64" i="4"/>
  <c r="BB48" i="3"/>
  <c r="BB43" i="3"/>
  <c r="BL17" i="3"/>
  <c r="BM17" i="3" s="1"/>
  <c r="B14" i="3"/>
  <c r="BY49" i="3"/>
  <c r="CA55" i="3"/>
  <c r="CA51" i="3"/>
  <c r="BD55" i="3"/>
  <c r="BQ51" i="3"/>
  <c r="W51" i="3"/>
  <c r="AV49" i="3"/>
  <c r="W62" i="4"/>
  <c r="BF55" i="3"/>
  <c r="W57" i="4"/>
  <c r="AT51" i="3"/>
  <c r="W61" i="4"/>
  <c r="J53" i="4"/>
  <c r="K53" i="4" s="1"/>
  <c r="BF52" i="3"/>
  <c r="BD46" i="3"/>
  <c r="BF43" i="3"/>
  <c r="AC42" i="3"/>
  <c r="BF45" i="3"/>
  <c r="AT55" i="3"/>
  <c r="BF57" i="3"/>
  <c r="AC46" i="3"/>
  <c r="BB57" i="4"/>
  <c r="CC49" i="3"/>
  <c r="Y55" i="3"/>
  <c r="AC44" i="3"/>
  <c r="CC57" i="3"/>
  <c r="CE57" i="3"/>
  <c r="AZ61" i="4"/>
  <c r="AT45" i="3"/>
  <c r="CG50" i="3"/>
  <c r="BB61" i="4"/>
  <c r="BB64" i="4"/>
  <c r="O51" i="3"/>
  <c r="Y56" i="3"/>
  <c r="AA47" i="3"/>
  <c r="CA60" i="4"/>
  <c r="CA46" i="3"/>
  <c r="O52" i="3"/>
  <c r="CM63" i="4"/>
  <c r="CM62" i="4"/>
  <c r="AX42" i="3"/>
  <c r="BY57" i="3"/>
  <c r="U47" i="3"/>
  <c r="AV43" i="3"/>
  <c r="CG56" i="3"/>
  <c r="AT46" i="3"/>
  <c r="BB60" i="4"/>
  <c r="BB58" i="4"/>
  <c r="CC60" i="4"/>
  <c r="CC58" i="4"/>
  <c r="CC63" i="4"/>
  <c r="CC61" i="4"/>
  <c r="BW62" i="4"/>
  <c r="BW58" i="4"/>
  <c r="S48" i="3"/>
  <c r="S44" i="3"/>
  <c r="S47" i="3"/>
  <c r="S56" i="3"/>
  <c r="BB49" i="3"/>
  <c r="BB47" i="3"/>
  <c r="BB55" i="3"/>
  <c r="BB44" i="3"/>
  <c r="BB50" i="3"/>
  <c r="AA55" i="3"/>
  <c r="AA45" i="3"/>
  <c r="AA57" i="3"/>
  <c r="AV60" i="4"/>
  <c r="AV61" i="4"/>
  <c r="AZ62" i="4"/>
  <c r="BW63" i="4"/>
  <c r="AV63" i="4"/>
  <c r="AZ45" i="3"/>
  <c r="AZ47" i="3"/>
  <c r="A23" i="6"/>
  <c r="A26" i="6"/>
  <c r="BP59" i="3"/>
  <c r="S45" i="3"/>
  <c r="AC62" i="4"/>
  <c r="A16" i="6"/>
  <c r="Q62" i="4"/>
  <c r="Q63" i="4"/>
  <c r="BU58" i="4"/>
  <c r="BU64" i="4"/>
  <c r="BJ63" i="4"/>
  <c r="BJ61" i="4"/>
  <c r="BJ62" i="4"/>
  <c r="BU62" i="4"/>
  <c r="Q64" i="4"/>
  <c r="AZ60" i="4"/>
  <c r="AZ63" i="4"/>
  <c r="AZ57" i="4"/>
  <c r="O55" i="3"/>
  <c r="O46" i="3"/>
  <c r="O43" i="3"/>
  <c r="O50" i="3"/>
  <c r="O49" i="3"/>
  <c r="O42" i="3"/>
  <c r="CK57" i="4"/>
  <c r="CK63" i="4"/>
  <c r="BW61" i="4"/>
  <c r="CE48" i="3"/>
  <c r="CE55" i="3"/>
  <c r="CE46" i="3"/>
  <c r="AC51" i="3"/>
  <c r="AC50" i="3"/>
  <c r="AC56" i="3"/>
  <c r="AC52" i="3"/>
  <c r="AC48" i="3"/>
  <c r="CA62" i="4"/>
  <c r="CA58" i="4"/>
  <c r="CG57" i="3"/>
  <c r="CG43" i="3"/>
  <c r="CG45" i="3"/>
  <c r="CG44" i="3"/>
  <c r="CG48" i="3"/>
  <c r="CG47" i="3"/>
  <c r="Q47" i="3"/>
  <c r="Q52" i="3"/>
  <c r="Q57" i="3"/>
  <c r="Q42" i="3"/>
  <c r="Q50" i="3"/>
  <c r="Q44" i="3"/>
  <c r="Q60" i="4"/>
  <c r="CG51" i="3"/>
  <c r="CE50" i="3"/>
  <c r="CA64" i="4"/>
  <c r="S60" i="4"/>
  <c r="Q56" i="3"/>
  <c r="CE49" i="3"/>
  <c r="CC56" i="3"/>
  <c r="CC44" i="3"/>
  <c r="CC46" i="3"/>
  <c r="CC48" i="3"/>
  <c r="CK62" i="4"/>
  <c r="Q58" i="4"/>
  <c r="CG42" i="3"/>
  <c r="CM57" i="4"/>
  <c r="CA63" i="4"/>
  <c r="AV62" i="4"/>
  <c r="Q46" i="3"/>
  <c r="BB42" i="3"/>
  <c r="BY57" i="4"/>
  <c r="BY61" i="4"/>
  <c r="A26" i="7"/>
  <c r="A23" i="7"/>
  <c r="CM60" i="4"/>
  <c r="O48" i="3"/>
  <c r="AC61" i="4"/>
  <c r="BY58" i="4"/>
  <c r="CE42" i="3"/>
  <c r="CA61" i="4"/>
  <c r="O47" i="3"/>
  <c r="Q43" i="3"/>
  <c r="BY62" i="4"/>
  <c r="CM61" i="4"/>
  <c r="CC64" i="4"/>
  <c r="O57" i="3"/>
  <c r="AC47" i="3"/>
  <c r="Q48" i="3"/>
  <c r="CA48" i="3"/>
  <c r="CM58" i="4"/>
  <c r="O45" i="3"/>
  <c r="BY64" i="4"/>
  <c r="AC49" i="3"/>
  <c r="O44" i="3"/>
  <c r="Y44" i="3"/>
  <c r="AA44" i="3"/>
  <c r="S52" i="3"/>
  <c r="AZ46" i="3"/>
  <c r="AA49" i="3"/>
  <c r="BB56" i="3"/>
  <c r="BY44" i="3"/>
  <c r="BY51" i="3"/>
  <c r="W55" i="3"/>
  <c r="BY47" i="3"/>
  <c r="C5" i="5"/>
  <c r="AV42" i="3"/>
  <c r="AX46" i="3"/>
  <c r="BD58" i="4"/>
  <c r="BY55" i="3"/>
  <c r="BY52" i="3"/>
  <c r="AX56" i="3"/>
  <c r="U42" i="3"/>
  <c r="AX45" i="3"/>
  <c r="AE42" i="3"/>
  <c r="CG63" i="4"/>
  <c r="BF58" i="4"/>
  <c r="BF57" i="4"/>
  <c r="BF60" i="4"/>
  <c r="BF61" i="4"/>
  <c r="AR64" i="4"/>
  <c r="AR58" i="4"/>
  <c r="AR60" i="4"/>
  <c r="AR62" i="4"/>
  <c r="BF64" i="4"/>
  <c r="AR57" i="4"/>
  <c r="BW46" i="3"/>
  <c r="BW55" i="3"/>
  <c r="BW48" i="3"/>
  <c r="BW43" i="3"/>
  <c r="BW51" i="3"/>
  <c r="AV47" i="3"/>
  <c r="AV56" i="3"/>
  <c r="AV48" i="3"/>
  <c r="AV52" i="3"/>
  <c r="AV46" i="3"/>
  <c r="U43" i="3"/>
  <c r="U52" i="3"/>
  <c r="U45" i="3"/>
  <c r="U55" i="3"/>
  <c r="U49" i="3"/>
  <c r="U48" i="3"/>
  <c r="U57" i="3"/>
  <c r="CI62" i="4"/>
  <c r="CI63" i="4"/>
  <c r="AA58" i="4"/>
  <c r="AA60" i="4"/>
  <c r="AT64" i="4"/>
  <c r="AT62" i="4"/>
  <c r="AT57" i="4"/>
  <c r="BQ52" i="3"/>
  <c r="BQ48" i="3"/>
  <c r="BQ45" i="3"/>
  <c r="BQ42" i="3"/>
  <c r="BQ50" i="3"/>
  <c r="BQ43" i="3"/>
  <c r="BQ57" i="3"/>
  <c r="BQ49" i="3"/>
  <c r="AE61" i="4"/>
  <c r="AE57" i="4"/>
  <c r="AE62" i="4"/>
  <c r="AV55" i="3"/>
  <c r="BW57" i="3"/>
  <c r="BW42" i="3"/>
  <c r="U50" i="3"/>
  <c r="AA61" i="4"/>
  <c r="BW44" i="3"/>
  <c r="BF62" i="4"/>
  <c r="BU44" i="3"/>
  <c r="BU43" i="3"/>
  <c r="BU56" i="3"/>
  <c r="BU57" i="3"/>
  <c r="BU51" i="3"/>
  <c r="BU50" i="3"/>
  <c r="BU42" i="3"/>
  <c r="BU47" i="3"/>
  <c r="AH59" i="3"/>
  <c r="AI59" i="3" s="1"/>
  <c r="AH61" i="3"/>
  <c r="AI61" i="3" s="1"/>
  <c r="AK19" i="3"/>
  <c r="AL19" i="3" s="1"/>
  <c r="J19" i="3"/>
  <c r="J61" i="3"/>
  <c r="K61" i="3" s="1"/>
  <c r="AK21" i="3"/>
  <c r="AL21" i="3" s="1"/>
  <c r="J70" i="3"/>
  <c r="K70" i="3" s="1"/>
  <c r="Y64" i="4"/>
  <c r="Y61" i="4"/>
  <c r="O64" i="4"/>
  <c r="O60" i="4"/>
  <c r="O61" i="4"/>
  <c r="O63" i="4"/>
  <c r="AP51" i="3"/>
  <c r="AP43" i="3"/>
  <c r="AP50" i="3"/>
  <c r="AP45" i="3"/>
  <c r="AP47" i="3"/>
  <c r="BS50" i="3"/>
  <c r="BS42" i="3"/>
  <c r="BS47" i="3"/>
  <c r="BS49" i="3"/>
  <c r="AG64" i="4"/>
  <c r="AG63" i="4"/>
  <c r="AG57" i="4"/>
  <c r="AG61" i="4"/>
  <c r="AV57" i="3"/>
  <c r="BW47" i="3"/>
  <c r="CG58" i="4"/>
  <c r="BW45" i="3"/>
  <c r="BF63" i="4"/>
  <c r="O57" i="4"/>
  <c r="BD48" i="3"/>
  <c r="BD47" i="3"/>
  <c r="BD49" i="3"/>
  <c r="BD57" i="3"/>
  <c r="BD42" i="3"/>
  <c r="BD50" i="3"/>
  <c r="BD44" i="3"/>
  <c r="BD45" i="3"/>
  <c r="AT56" i="3"/>
  <c r="AT57" i="3"/>
  <c r="AT47" i="3"/>
  <c r="AT52" i="3"/>
  <c r="AT48" i="3"/>
  <c r="AT49" i="3"/>
  <c r="AT44" i="3"/>
  <c r="AT43" i="3"/>
  <c r="CE57" i="4"/>
  <c r="CE60" i="4"/>
  <c r="CE62" i="4"/>
  <c r="BP22" i="4"/>
  <c r="BQ22" i="4" s="1"/>
  <c r="BP20" i="4"/>
  <c r="J19" i="4"/>
  <c r="K19" i="4" s="1"/>
  <c r="AM24" i="4"/>
  <c r="AN24" i="4" s="1"/>
  <c r="J21" i="4"/>
  <c r="K21" i="4" s="1"/>
  <c r="BF47" i="3"/>
  <c r="BF56" i="3"/>
  <c r="BF48" i="3"/>
  <c r="BF44" i="3"/>
  <c r="AR42" i="3"/>
  <c r="AR57" i="3"/>
  <c r="AR45" i="3"/>
  <c r="AR46" i="3"/>
  <c r="AR47" i="3"/>
  <c r="AR43" i="3"/>
  <c r="BH64" i="4"/>
  <c r="BH58" i="4"/>
  <c r="BH60" i="4"/>
  <c r="AR61" i="4"/>
  <c r="J68" i="3"/>
  <c r="K68" i="3" s="1"/>
  <c r="BF42" i="3"/>
  <c r="BH62" i="4"/>
  <c r="Y57" i="4"/>
  <c r="BF51" i="3"/>
  <c r="AR49" i="3"/>
  <c r="BF50" i="3"/>
  <c r="BQ47" i="3"/>
  <c r="BD51" i="3"/>
  <c r="CE64" i="4"/>
  <c r="BQ44" i="3"/>
  <c r="BQ55" i="3"/>
  <c r="U64" i="4"/>
  <c r="U61" i="4"/>
  <c r="U60" i="4"/>
  <c r="U63" i="4"/>
  <c r="U58" i="4"/>
  <c r="U62" i="4"/>
  <c r="Q61" i="4"/>
  <c r="Q57" i="4"/>
  <c r="C27" i="5"/>
  <c r="AG62" i="4"/>
  <c r="AR55" i="3"/>
  <c r="BH61" i="4"/>
  <c r="BF49" i="3"/>
  <c r="AR52" i="3"/>
  <c r="BD57" i="4"/>
  <c r="BD52" i="3"/>
  <c r="O58" i="4"/>
  <c r="U51" i="3"/>
  <c r="AV45" i="3"/>
  <c r="BD56" i="3"/>
  <c r="BQ46" i="3"/>
  <c r="AG58" i="4"/>
  <c r="CG57" i="4"/>
  <c r="AP46" i="3"/>
  <c r="U46" i="3"/>
  <c r="AT50" i="3"/>
  <c r="CE52" i="3"/>
  <c r="CE56" i="3"/>
  <c r="CE45" i="3"/>
  <c r="CE51" i="3"/>
  <c r="CE43" i="3"/>
  <c r="CE44" i="3"/>
  <c r="AA42" i="3"/>
  <c r="AA48" i="3"/>
  <c r="AA52" i="3"/>
  <c r="S63" i="4"/>
  <c r="S58" i="4"/>
  <c r="S46" i="3"/>
  <c r="S42" i="3"/>
  <c r="S55" i="3"/>
  <c r="S51" i="3"/>
  <c r="BU60" i="4"/>
  <c r="BU57" i="4"/>
  <c r="BU61" i="4"/>
  <c r="AA46" i="3"/>
  <c r="AX58" i="4"/>
  <c r="S43" i="3"/>
  <c r="AK4" i="4"/>
  <c r="AK74" i="4" s="1"/>
  <c r="BY48" i="3"/>
  <c r="BY43" i="3"/>
  <c r="BY50" i="3"/>
  <c r="Y43" i="3"/>
  <c r="Y49" i="3"/>
  <c r="Y45" i="3"/>
  <c r="BY63" i="4"/>
  <c r="CG55" i="3"/>
  <c r="Y51" i="3"/>
  <c r="AA43" i="3"/>
  <c r="AX62" i="4"/>
  <c r="AA56" i="3"/>
  <c r="AZ50" i="3"/>
  <c r="CG49" i="3"/>
  <c r="AZ49" i="3"/>
  <c r="AX55" i="3"/>
  <c r="AX49" i="3"/>
  <c r="W57" i="3"/>
  <c r="W47" i="3"/>
  <c r="AC58" i="4"/>
  <c r="AC57" i="4"/>
  <c r="Q49" i="3"/>
  <c r="Q55" i="3"/>
  <c r="Q51" i="3"/>
  <c r="Q45" i="3"/>
  <c r="BB63" i="4"/>
  <c r="W63" i="4"/>
  <c r="S14" i="3"/>
  <c r="AT31" i="3"/>
  <c r="BS13" i="3"/>
  <c r="AR9" i="3"/>
  <c r="BS4" i="3"/>
  <c r="AR13" i="3"/>
  <c r="BS10" i="3"/>
  <c r="Q7" i="3"/>
  <c r="Q14" i="3"/>
  <c r="N35" i="3"/>
  <c r="AT12" i="3"/>
  <c r="W27" i="3"/>
  <c r="W26" i="3"/>
  <c r="AP29" i="3"/>
  <c r="BU27" i="3"/>
  <c r="BQ28" i="3"/>
  <c r="BY26" i="3"/>
  <c r="AT26" i="3"/>
  <c r="BU26" i="3"/>
  <c r="BY28" i="3"/>
  <c r="AX26" i="3"/>
  <c r="BY30" i="3"/>
  <c r="AX25" i="3"/>
  <c r="BQ30" i="3"/>
  <c r="BU29" i="3"/>
  <c r="W29" i="3"/>
  <c r="AX28" i="3"/>
  <c r="AP27" i="3"/>
  <c r="AT25" i="3"/>
  <c r="BU13" i="3"/>
  <c r="BS11" i="3"/>
  <c r="AT8" i="3"/>
  <c r="AR4" i="3"/>
  <c r="BU3" i="3"/>
  <c r="AT2" i="3"/>
  <c r="S2" i="3"/>
  <c r="Q5" i="3"/>
  <c r="AT13" i="3"/>
  <c r="O14" i="3"/>
  <c r="Q15" i="3"/>
  <c r="Y15" i="3"/>
  <c r="AR15" i="3"/>
  <c r="AX15" i="3"/>
  <c r="BS15" i="3"/>
  <c r="S31" i="3"/>
  <c r="BQ31" i="3"/>
  <c r="BY31" i="3"/>
  <c r="S9" i="3"/>
  <c r="AT14" i="3"/>
  <c r="S13" i="3"/>
  <c r="S15" i="3"/>
  <c r="AT15" i="3"/>
  <c r="BU15" i="3"/>
  <c r="AP31" i="3"/>
  <c r="AX31" i="3"/>
  <c r="AR11" i="3"/>
  <c r="AR7" i="3"/>
  <c r="AR3" i="3"/>
  <c r="BS14" i="3"/>
  <c r="AR8" i="3"/>
  <c r="BS2" i="3"/>
  <c r="BS5" i="3"/>
  <c r="AT9" i="3"/>
  <c r="W25" i="3"/>
  <c r="AX30" i="3"/>
  <c r="AP26" i="3"/>
  <c r="AT29" i="3"/>
  <c r="AT30" i="3"/>
  <c r="S25" i="3"/>
  <c r="AX27" i="3"/>
  <c r="BU30" i="3"/>
  <c r="AP30" i="3"/>
  <c r="BQ29" i="3"/>
  <c r="AP28" i="3"/>
  <c r="O27" i="3"/>
  <c r="O25" i="3"/>
  <c r="S11" i="3"/>
  <c r="BU10" i="3"/>
  <c r="Q10" i="3"/>
  <c r="Q9" i="3"/>
  <c r="AT7" i="3"/>
  <c r="BS6" i="3"/>
  <c r="BU5" i="3"/>
  <c r="AT5" i="3"/>
  <c r="AT3" i="3"/>
  <c r="AP14" i="3"/>
  <c r="O13" i="3"/>
  <c r="U15" i="3"/>
  <c r="AV15" i="3"/>
  <c r="AZ52" i="3"/>
  <c r="AV58" i="4"/>
  <c r="AZ64" i="4"/>
  <c r="CI58" i="4"/>
  <c r="CI57" i="4"/>
  <c r="CK61" i="4"/>
  <c r="AX57" i="3"/>
  <c r="AX47" i="3"/>
  <c r="CC51" i="3"/>
  <c r="CC45" i="3"/>
  <c r="BH57" i="4"/>
  <c r="BS45" i="3"/>
  <c r="BS46" i="3"/>
  <c r="AE48" i="3"/>
  <c r="AE43" i="3"/>
  <c r="Y58" i="4"/>
  <c r="BD62" i="4"/>
  <c r="Y47" i="3"/>
  <c r="CC42" i="3"/>
  <c r="AT58" i="4"/>
  <c r="AT60" i="4"/>
  <c r="CC52" i="3"/>
  <c r="AT63" i="4"/>
  <c r="AP48" i="3"/>
  <c r="CE63" i="4"/>
  <c r="Y57" i="3"/>
  <c r="Y48" i="3"/>
  <c r="W64" i="4"/>
  <c r="BU55" i="3"/>
  <c r="BU45" i="3"/>
  <c r="CK64" i="4"/>
  <c r="AX64" i="4"/>
  <c r="CA57" i="3"/>
  <c r="BJ58" i="4"/>
  <c r="CA42" i="3"/>
  <c r="CA49" i="3"/>
  <c r="S62" i="4"/>
  <c r="S57" i="4"/>
  <c r="W50" i="3"/>
  <c r="W56" i="3"/>
  <c r="AP52" i="3"/>
  <c r="AE64" i="4"/>
  <c r="AZ57" i="3"/>
  <c r="BD63" i="4"/>
  <c r="BS57" i="3"/>
  <c r="BJ64" i="4"/>
  <c r="BU52" i="3"/>
  <c r="W44" i="3"/>
  <c r="AE46" i="3"/>
  <c r="Y50" i="3"/>
  <c r="BW57" i="4"/>
  <c r="AZ55" i="3"/>
  <c r="BS48" i="3"/>
  <c r="AP42" i="3"/>
  <c r="AP55" i="3"/>
  <c r="AP44" i="3"/>
  <c r="AE51" i="3"/>
  <c r="CC57" i="4"/>
  <c r="AZ42" i="3"/>
  <c r="AZ51" i="3"/>
  <c r="CA56" i="3"/>
  <c r="AZ48" i="3"/>
  <c r="W43" i="3"/>
  <c r="CC62" i="4"/>
  <c r="AX61" i="4"/>
  <c r="Y63" i="4"/>
  <c r="CK58" i="4"/>
  <c r="BW60" i="4"/>
  <c r="AV57" i="4"/>
  <c r="CI61" i="4"/>
  <c r="AX51" i="3"/>
  <c r="AT61" i="4"/>
  <c r="AX43" i="3"/>
  <c r="AX52" i="3"/>
  <c r="AO59" i="3"/>
  <c r="AP59" i="3" s="1"/>
  <c r="BH63" i="4"/>
  <c r="BS52" i="3"/>
  <c r="BS51" i="3"/>
  <c r="AE50" i="3"/>
  <c r="AE44" i="3"/>
  <c r="BD64" i="4"/>
  <c r="B20" i="3"/>
  <c r="Y46" i="3"/>
  <c r="CC55" i="3"/>
  <c r="AX44" i="3"/>
  <c r="CC43" i="3"/>
  <c r="CC50" i="3"/>
  <c r="BW64" i="4"/>
  <c r="CE58" i="4"/>
  <c r="Y42" i="3"/>
  <c r="AE58" i="4"/>
  <c r="BU46" i="3"/>
  <c r="BD60" i="4"/>
  <c r="BU48" i="3"/>
  <c r="BU49" i="3"/>
  <c r="AX57" i="4"/>
  <c r="AX60" i="4"/>
  <c r="W52" i="3"/>
  <c r="CA44" i="3"/>
  <c r="CA45" i="3"/>
  <c r="W45" i="3"/>
  <c r="BJ57" i="4"/>
  <c r="AZ44" i="3"/>
  <c r="AZ43" i="3"/>
  <c r="CA47" i="3"/>
  <c r="W60" i="4"/>
  <c r="AZ56" i="3"/>
  <c r="AP56" i="3"/>
  <c r="AP49" i="3"/>
  <c r="A16" i="7"/>
  <c r="AA63" i="4"/>
  <c r="AK5" i="4"/>
  <c r="AK35" i="4" s="1"/>
  <c r="AK72" i="4"/>
  <c r="AK57" i="4"/>
  <c r="H51" i="4"/>
  <c r="BJ83" i="3"/>
  <c r="H66" i="3"/>
  <c r="BJ42" i="3"/>
  <c r="H42" i="3"/>
  <c r="H25" i="3"/>
  <c r="AI25" i="3"/>
  <c r="H68" i="4"/>
  <c r="H44" i="3"/>
  <c r="AI4" i="3"/>
  <c r="H4" i="3"/>
  <c r="H31" i="4"/>
  <c r="BW85" i="4" l="1"/>
  <c r="BW77" i="4"/>
  <c r="BW83" i="4"/>
  <c r="O53" i="4"/>
  <c r="H46" i="4" s="1"/>
  <c r="O84" i="4"/>
  <c r="Y78" i="4"/>
  <c r="O19" i="3"/>
  <c r="H18" i="3" s="1"/>
  <c r="BW78" i="4"/>
  <c r="BW82" i="4"/>
  <c r="BW84" i="4"/>
  <c r="W78" i="4"/>
  <c r="Y85" i="4"/>
  <c r="BW80" i="4"/>
  <c r="AP97" i="3"/>
  <c r="O59" i="3"/>
  <c r="H52" i="3" s="1"/>
  <c r="BQ35" i="3"/>
  <c r="BJ31" i="3" s="1"/>
  <c r="W82" i="4"/>
  <c r="AR77" i="4"/>
  <c r="Y81" i="4"/>
  <c r="O83" i="4"/>
  <c r="O28" i="4"/>
  <c r="H14" i="4" s="1"/>
  <c r="AT77" i="4"/>
  <c r="AT84" i="4"/>
  <c r="H98" i="3"/>
  <c r="S79" i="4"/>
  <c r="Y76" i="4"/>
  <c r="BU78" i="4"/>
  <c r="Y72" i="4"/>
  <c r="AZ82" i="4"/>
  <c r="BU79" i="4"/>
  <c r="CC75" i="4"/>
  <c r="BY74" i="4"/>
  <c r="Q76" i="4"/>
  <c r="AR73" i="4"/>
  <c r="AR84" i="4"/>
  <c r="CC85" i="4"/>
  <c r="AR83" i="4"/>
  <c r="CC80" i="4"/>
  <c r="Q83" i="4"/>
  <c r="Q84" i="4"/>
  <c r="BU75" i="4"/>
  <c r="BU76" i="4"/>
  <c r="AR74" i="4"/>
  <c r="AR78" i="4"/>
  <c r="AT75" i="4"/>
  <c r="AT72" i="4"/>
  <c r="BU85" i="4"/>
  <c r="BU83" i="4"/>
  <c r="S80" i="4"/>
  <c r="S83" i="4"/>
  <c r="AR80" i="4"/>
  <c r="AZ81" i="4"/>
  <c r="AZ74" i="4"/>
  <c r="BU80" i="4"/>
  <c r="BU84" i="4"/>
  <c r="BU81" i="4"/>
  <c r="S73" i="4"/>
  <c r="AR81" i="4"/>
  <c r="AR75" i="4"/>
  <c r="AR85" i="4"/>
  <c r="AT79" i="4"/>
  <c r="AX72" i="4"/>
  <c r="O74" i="4"/>
  <c r="AT74" i="4"/>
  <c r="BU77" i="4"/>
  <c r="Y84" i="4"/>
  <c r="BU72" i="4"/>
  <c r="O73" i="4"/>
  <c r="S82" i="4"/>
  <c r="AT78" i="4"/>
  <c r="AZ85" i="4"/>
  <c r="AZ72" i="4"/>
  <c r="BU82" i="4"/>
  <c r="AX84" i="4"/>
  <c r="AX80" i="4"/>
  <c r="S78" i="4"/>
  <c r="BU73" i="4"/>
  <c r="AR82" i="4"/>
  <c r="AR79" i="4"/>
  <c r="AT80" i="4"/>
  <c r="S75" i="4"/>
  <c r="AR72" i="4"/>
  <c r="Y83" i="4"/>
  <c r="S85" i="4"/>
  <c r="S74" i="4"/>
  <c r="S72" i="4"/>
  <c r="AZ79" i="4"/>
  <c r="AZ78" i="4"/>
  <c r="AZ76" i="4"/>
  <c r="AI98" i="3"/>
  <c r="BK96" i="3"/>
  <c r="BQ19" i="3"/>
  <c r="BJ18" i="3" s="1"/>
  <c r="O35" i="3"/>
  <c r="H31" i="3" s="1"/>
  <c r="CE78" i="4"/>
  <c r="U83" i="4"/>
  <c r="U80" i="4"/>
  <c r="U85" i="4"/>
  <c r="BU28" i="4"/>
  <c r="BN21" i="4" s="1"/>
  <c r="AV76" i="4"/>
  <c r="BY73" i="4"/>
  <c r="BY78" i="4"/>
  <c r="O76" i="4"/>
  <c r="BB74" i="4"/>
  <c r="Y80" i="4"/>
  <c r="AX83" i="4"/>
  <c r="O82" i="4"/>
  <c r="O78" i="4"/>
  <c r="BY77" i="4"/>
  <c r="BT88" i="4"/>
  <c r="BU88" i="4" s="1"/>
  <c r="BN83" i="4" s="1"/>
  <c r="Y79" i="4"/>
  <c r="BY79" i="4"/>
  <c r="Y82" i="4"/>
  <c r="N88" i="4"/>
  <c r="O88" i="4" s="1"/>
  <c r="H75" i="4" s="1"/>
  <c r="O81" i="4"/>
  <c r="AX79" i="4"/>
  <c r="BB81" i="4"/>
  <c r="BY81" i="4"/>
  <c r="AX73" i="4"/>
  <c r="BY75" i="4"/>
  <c r="BY84" i="4"/>
  <c r="BY80" i="4"/>
  <c r="BY72" i="4"/>
  <c r="BY82" i="4"/>
  <c r="AX76" i="4"/>
  <c r="CE76" i="4"/>
  <c r="CE75" i="4"/>
  <c r="CE81" i="4"/>
  <c r="CE77" i="4"/>
  <c r="AX75" i="4"/>
  <c r="O79" i="4"/>
  <c r="AV75" i="4"/>
  <c r="O85" i="4"/>
  <c r="W76" i="4"/>
  <c r="Y74" i="4"/>
  <c r="O77" i="4"/>
  <c r="BB75" i="4"/>
  <c r="AX81" i="4"/>
  <c r="AX85" i="4"/>
  <c r="AX77" i="4"/>
  <c r="AX82" i="4"/>
  <c r="AX74" i="4"/>
  <c r="BY83" i="4"/>
  <c r="Q72" i="4"/>
  <c r="Y77" i="4"/>
  <c r="CE72" i="4"/>
  <c r="CE83" i="4"/>
  <c r="BY85" i="4"/>
  <c r="Y75" i="4"/>
  <c r="O80" i="4"/>
  <c r="O75" i="4"/>
  <c r="Q85" i="4"/>
  <c r="W80" i="4"/>
  <c r="W81" i="4"/>
  <c r="W84" i="4"/>
  <c r="W85" i="4"/>
  <c r="W79" i="4"/>
  <c r="AV72" i="4"/>
  <c r="AV77" i="4"/>
  <c r="AV84" i="4"/>
  <c r="AV80" i="4"/>
  <c r="U72" i="4"/>
  <c r="U82" i="4"/>
  <c r="AV79" i="4"/>
  <c r="AV81" i="4"/>
  <c r="CC77" i="4"/>
  <c r="CC82" i="4"/>
  <c r="Q74" i="4"/>
  <c r="Q79" i="4"/>
  <c r="Q75" i="4"/>
  <c r="Q77" i="4"/>
  <c r="Q82" i="4"/>
  <c r="Q81" i="4"/>
  <c r="W77" i="4"/>
  <c r="W75" i="4"/>
  <c r="W83" i="4"/>
  <c r="CC83" i="4"/>
  <c r="CC84" i="4"/>
  <c r="CC78" i="4"/>
  <c r="AV78" i="4"/>
  <c r="AV83" i="4"/>
  <c r="W72" i="4"/>
  <c r="AR53" i="4"/>
  <c r="AK52" i="4" s="1"/>
  <c r="AV82" i="4"/>
  <c r="U75" i="4"/>
  <c r="U84" i="4"/>
  <c r="Q73" i="4"/>
  <c r="U81" i="4"/>
  <c r="U73" i="4"/>
  <c r="U78" i="4"/>
  <c r="U77" i="4"/>
  <c r="CC74" i="4"/>
  <c r="AZ77" i="4"/>
  <c r="AZ80" i="4"/>
  <c r="AZ75" i="4"/>
  <c r="W73" i="4"/>
  <c r="AT73" i="4"/>
  <c r="BB83" i="4"/>
  <c r="BB76" i="4"/>
  <c r="AQ88" i="4"/>
  <c r="AR88" i="4" s="1"/>
  <c r="AK83" i="4" s="1"/>
  <c r="CC79" i="4"/>
  <c r="CC76" i="4"/>
  <c r="AT85" i="4"/>
  <c r="AT81" i="4"/>
  <c r="AT82" i="4"/>
  <c r="AV85" i="4"/>
  <c r="U79" i="4"/>
  <c r="U76" i="4"/>
  <c r="S77" i="4"/>
  <c r="BB85" i="4"/>
  <c r="S84" i="4"/>
  <c r="AV74" i="4"/>
  <c r="AT76" i="4"/>
  <c r="CC72" i="4"/>
  <c r="AZ83" i="4"/>
  <c r="BB77" i="4"/>
  <c r="BB84" i="4"/>
  <c r="BB73" i="4"/>
  <c r="CE82" i="4"/>
  <c r="CE80" i="4"/>
  <c r="BB80" i="4"/>
  <c r="BB78" i="4"/>
  <c r="BB82" i="4"/>
  <c r="CE84" i="4"/>
  <c r="CE85" i="4"/>
  <c r="CE79" i="4"/>
  <c r="CE74" i="4"/>
  <c r="H54" i="4"/>
  <c r="H69" i="4" s="1"/>
  <c r="BJ5" i="3"/>
  <c r="BJ28" i="3" s="1"/>
  <c r="AP19" i="3"/>
  <c r="AI18" i="3" s="1"/>
  <c r="AP35" i="3"/>
  <c r="AI31" i="3" s="1"/>
  <c r="AK65" i="4"/>
  <c r="BN65" i="4"/>
  <c r="H5" i="4"/>
  <c r="H32" i="4" s="1"/>
  <c r="K59" i="3"/>
  <c r="H45" i="3" s="1"/>
  <c r="BQ59" i="3"/>
  <c r="BJ52" i="3" s="1"/>
  <c r="H69" i="3"/>
  <c r="AI5" i="3"/>
  <c r="AI88" i="3" s="1"/>
  <c r="AK59" i="4"/>
  <c r="BQ20" i="4"/>
  <c r="BN5" i="4" s="1"/>
  <c r="BN35" i="4" s="1"/>
  <c r="K19" i="3"/>
  <c r="H5" i="3" s="1"/>
  <c r="AI45" i="3"/>
  <c r="AK34" i="4"/>
  <c r="AI52" i="3"/>
  <c r="H60" i="4"/>
  <c r="H68" i="3"/>
  <c r="H87" i="3"/>
  <c r="H27" i="3"/>
  <c r="AI27" i="3"/>
  <c r="AI87" i="3"/>
  <c r="AI68" i="3"/>
  <c r="BN60" i="4" l="1"/>
  <c r="BN75" i="4" s="1"/>
  <c r="AK60" i="4"/>
  <c r="AK75" i="4" s="1"/>
  <c r="BJ45" i="3"/>
  <c r="BJ86" i="3"/>
  <c r="AI28" i="3"/>
  <c r="H28" i="3"/>
  <c r="H88" i="3"/>
  <c r="AK43" i="3" l="1"/>
  <c r="AL43" i="3" s="1"/>
  <c r="BP5" i="4" l="1"/>
  <c r="BQ5" i="4" s="1"/>
  <c r="BP14" i="4"/>
  <c r="BQ14" i="4" s="1"/>
  <c r="BP9" i="4"/>
  <c r="BQ9" i="4" s="1"/>
  <c r="BP3" i="4"/>
  <c r="BQ3" i="4" s="1"/>
  <c r="BP7" i="4"/>
  <c r="BQ7" i="4" s="1"/>
  <c r="BL3" i="3"/>
  <c r="BM3" i="3" s="1"/>
  <c r="BL11" i="3"/>
  <c r="BM11" i="3" s="1"/>
  <c r="BL9" i="3"/>
  <c r="BM9" i="3" s="1"/>
  <c r="BL5" i="3"/>
  <c r="BM5" i="3" s="1"/>
  <c r="BL7" i="3"/>
  <c r="BM7" i="3" s="1"/>
  <c r="AK5" i="3"/>
  <c r="AL5" i="3" s="1"/>
  <c r="J43" i="3"/>
  <c r="K43" i="3" s="1"/>
  <c r="J3" i="3"/>
  <c r="K3" i="3" s="1"/>
  <c r="J11" i="3"/>
  <c r="K11" i="3" s="1"/>
  <c r="J51" i="3"/>
  <c r="K51" i="3" s="1"/>
  <c r="J9" i="3"/>
  <c r="K9" i="3" s="1"/>
  <c r="C24" i="5"/>
  <c r="AK9" i="3"/>
  <c r="AL9" i="3" s="1"/>
  <c r="AK45" i="3"/>
  <c r="AL45" i="3" s="1"/>
  <c r="J5" i="3"/>
  <c r="K5" i="3" s="1"/>
  <c r="J49" i="3"/>
  <c r="K49" i="3" s="1"/>
  <c r="AK47" i="3"/>
  <c r="AL47" i="3" s="1"/>
  <c r="C4" i="5"/>
  <c r="AK49" i="3"/>
  <c r="AL49" i="3" s="1"/>
  <c r="AK3" i="3"/>
  <c r="AL3" i="3" s="1"/>
  <c r="J13" i="3"/>
  <c r="K13" i="3" s="1"/>
  <c r="J47" i="3"/>
  <c r="K47" i="3" s="1"/>
  <c r="AK7" i="3"/>
  <c r="AL7" i="3" s="1"/>
  <c r="AK13" i="3"/>
  <c r="AL13" i="3" s="1"/>
  <c r="AK51" i="3"/>
  <c r="AL51" i="3" s="1"/>
  <c r="J45" i="3"/>
  <c r="K45" i="3" s="1"/>
  <c r="AK53" i="3"/>
  <c r="AL53" i="3" s="1"/>
  <c r="AK11" i="3"/>
  <c r="AL11" i="3" s="1"/>
  <c r="J53" i="3"/>
  <c r="K53" i="3" s="1"/>
  <c r="J7" i="3"/>
  <c r="K7" i="3" s="1"/>
  <c r="BJ3" i="3" l="1"/>
  <c r="BJ67" i="3" s="1"/>
  <c r="BJ80" i="3" s="1"/>
  <c r="BN3" i="4"/>
  <c r="BN73" i="4" s="1"/>
  <c r="BN84" i="4" s="1"/>
  <c r="H43" i="3"/>
  <c r="Y13" i="5" s="1"/>
  <c r="J5" i="4"/>
  <c r="K5" i="4" s="1"/>
  <c r="AM7" i="4"/>
  <c r="AN7" i="4" s="1"/>
  <c r="J3" i="4"/>
  <c r="K3" i="4" s="1"/>
  <c r="J9" i="4"/>
  <c r="K9" i="4" s="1"/>
  <c r="AM16" i="4"/>
  <c r="AN16" i="4" s="1"/>
  <c r="AM5" i="4"/>
  <c r="AN5" i="4" s="1"/>
  <c r="J13" i="4"/>
  <c r="K13" i="4" s="1"/>
  <c r="AM14" i="4"/>
  <c r="AN14" i="4" s="1"/>
  <c r="AM9" i="4"/>
  <c r="AN9" i="4" s="1"/>
  <c r="AM3" i="4"/>
  <c r="AN3" i="4" s="1"/>
  <c r="J7" i="4"/>
  <c r="K7" i="4" s="1"/>
  <c r="J11" i="4"/>
  <c r="K11" i="4" s="1"/>
  <c r="AI43" i="3"/>
  <c r="AI53" i="3" s="1"/>
  <c r="AI3" i="3"/>
  <c r="AI26" i="3" s="1"/>
  <c r="AI32" i="3" s="1"/>
  <c r="H3" i="3"/>
  <c r="C14" i="5" s="1"/>
  <c r="BN22" i="4" l="1"/>
  <c r="C10" i="7" s="1"/>
  <c r="C26" i="7" s="1"/>
  <c r="B26" i="7" s="1"/>
  <c r="BN58" i="4"/>
  <c r="BN66" i="4" s="1"/>
  <c r="BJ19" i="3"/>
  <c r="C10" i="6" s="1"/>
  <c r="C26" i="6" s="1"/>
  <c r="D26" i="6" s="1"/>
  <c r="BN33" i="4"/>
  <c r="BN53" i="4" s="1"/>
  <c r="BJ84" i="3"/>
  <c r="BJ88" i="3" s="1"/>
  <c r="BK97" i="3" s="1"/>
  <c r="BJ43" i="3"/>
  <c r="BJ53" i="3" s="1"/>
  <c r="BJ26" i="3"/>
  <c r="BJ32" i="3" s="1"/>
  <c r="Y14" i="5"/>
  <c r="D26" i="7"/>
  <c r="AB15" i="5"/>
  <c r="W14" i="5"/>
  <c r="Y16" i="5"/>
  <c r="AC13" i="5"/>
  <c r="X15" i="5"/>
  <c r="X19" i="5"/>
  <c r="H53" i="3"/>
  <c r="AA12" i="5"/>
  <c r="AC14" i="5"/>
  <c r="X14" i="5"/>
  <c r="U18" i="5"/>
  <c r="AB18" i="5"/>
  <c r="AB16" i="5"/>
  <c r="U19" i="5"/>
  <c r="V18" i="5"/>
  <c r="Y19" i="5"/>
  <c r="W19" i="5"/>
  <c r="X18" i="5"/>
  <c r="AA18" i="5"/>
  <c r="T18" i="5"/>
  <c r="V16" i="5"/>
  <c r="AB19" i="5"/>
  <c r="U15" i="5"/>
  <c r="T13" i="5"/>
  <c r="Z13" i="5"/>
  <c r="AB14" i="5"/>
  <c r="U16" i="5"/>
  <c r="V12" i="5"/>
  <c r="Z16" i="5"/>
  <c r="T16" i="5"/>
  <c r="V15" i="5"/>
  <c r="Z19" i="5"/>
  <c r="AB13" i="5"/>
  <c r="V17" i="5"/>
  <c r="T17" i="5"/>
  <c r="V14" i="5"/>
  <c r="AA16" i="5"/>
  <c r="V19" i="5"/>
  <c r="Y17" i="5"/>
  <c r="T19" i="5"/>
  <c r="AC16" i="5"/>
  <c r="Z12" i="5"/>
  <c r="X13" i="5"/>
  <c r="U12" i="5"/>
  <c r="U17" i="5"/>
  <c r="AC12" i="5"/>
  <c r="T14" i="5"/>
  <c r="Y15" i="5"/>
  <c r="W13" i="5"/>
  <c r="Z14" i="5"/>
  <c r="X12" i="5"/>
  <c r="X16" i="5"/>
  <c r="AC15" i="5"/>
  <c r="Y18" i="5"/>
  <c r="AA19" i="5"/>
  <c r="V13" i="5"/>
  <c r="AC18" i="5"/>
  <c r="W18" i="5"/>
  <c r="T12" i="5"/>
  <c r="Z15" i="5"/>
  <c r="E17" i="5"/>
  <c r="AA17" i="5"/>
  <c r="AA13" i="5"/>
  <c r="AB17" i="5"/>
  <c r="Y12" i="5"/>
  <c r="U14" i="5"/>
  <c r="AA14" i="5"/>
  <c r="Z18" i="5"/>
  <c r="W12" i="5"/>
  <c r="X17" i="5"/>
  <c r="Z17" i="5"/>
  <c r="U13" i="5"/>
  <c r="W16" i="5"/>
  <c r="AC19" i="5"/>
  <c r="W15" i="5"/>
  <c r="W17" i="5"/>
  <c r="AC17" i="5"/>
  <c r="AA15" i="5"/>
  <c r="T15" i="5"/>
  <c r="AB12" i="5"/>
  <c r="E13" i="5"/>
  <c r="C18" i="5"/>
  <c r="C13" i="5"/>
  <c r="I18" i="5"/>
  <c r="G18" i="5"/>
  <c r="D15" i="5"/>
  <c r="H15" i="5"/>
  <c r="Q17" i="5"/>
  <c r="C16" i="5"/>
  <c r="Q15" i="5"/>
  <c r="P14" i="5"/>
  <c r="N18" i="5"/>
  <c r="I13" i="5"/>
  <c r="H3" i="4"/>
  <c r="E32" i="5" s="1"/>
  <c r="Q13" i="5"/>
  <c r="L13" i="5"/>
  <c r="Q12" i="5"/>
  <c r="G17" i="5"/>
  <c r="O15" i="5"/>
  <c r="L17" i="5"/>
  <c r="K16" i="5"/>
  <c r="F16" i="5"/>
  <c r="I17" i="5"/>
  <c r="F13" i="5"/>
  <c r="Q16" i="5"/>
  <c r="L12" i="5"/>
  <c r="K13" i="5"/>
  <c r="N12" i="5"/>
  <c r="D18" i="5"/>
  <c r="G14" i="5"/>
  <c r="O17" i="5"/>
  <c r="H17" i="5"/>
  <c r="P15" i="5"/>
  <c r="J12" i="5"/>
  <c r="E15" i="5"/>
  <c r="C15" i="5"/>
  <c r="I15" i="5"/>
  <c r="M17" i="5"/>
  <c r="L15" i="5"/>
  <c r="G15" i="5"/>
  <c r="M13" i="5"/>
  <c r="M18" i="5"/>
  <c r="L14" i="5"/>
  <c r="H67" i="3"/>
  <c r="H80" i="3" s="1"/>
  <c r="D14" i="5"/>
  <c r="N16" i="5"/>
  <c r="L18" i="5"/>
  <c r="E12" i="5"/>
  <c r="G13" i="5"/>
  <c r="D17" i="5"/>
  <c r="I12" i="5"/>
  <c r="F18" i="5"/>
  <c r="I14" i="5"/>
  <c r="O14" i="5"/>
  <c r="L16" i="5"/>
  <c r="E16" i="5"/>
  <c r="K14" i="5"/>
  <c r="O13" i="5"/>
  <c r="N15" i="5"/>
  <c r="J13" i="5"/>
  <c r="P18" i="5"/>
  <c r="H86" i="3"/>
  <c r="H90" i="3" s="1"/>
  <c r="H99" i="3" s="1"/>
  <c r="H18" i="5"/>
  <c r="J17" i="5"/>
  <c r="K15" i="5"/>
  <c r="P13" i="5"/>
  <c r="O12" i="5"/>
  <c r="M15" i="5"/>
  <c r="F12" i="5"/>
  <c r="K17" i="5"/>
  <c r="K12" i="5"/>
  <c r="H16" i="5"/>
  <c r="E14" i="5"/>
  <c r="I16" i="5"/>
  <c r="O18" i="5"/>
  <c r="G12" i="5"/>
  <c r="N14" i="5"/>
  <c r="P12" i="5"/>
  <c r="C12" i="5"/>
  <c r="O16" i="5"/>
  <c r="J16" i="5"/>
  <c r="Q18" i="5"/>
  <c r="H13" i="5"/>
  <c r="Q14" i="5"/>
  <c r="D12" i="5"/>
  <c r="J14" i="5"/>
  <c r="H26" i="3"/>
  <c r="H32" i="3" s="1"/>
  <c r="D22" i="3" s="1"/>
  <c r="H19" i="3"/>
  <c r="C8" i="6" s="1"/>
  <c r="C16" i="6" s="1"/>
  <c r="D16" i="6" s="1"/>
  <c r="D13" i="5"/>
  <c r="H14" i="5"/>
  <c r="M12" i="5"/>
  <c r="J15" i="5"/>
  <c r="P17" i="5"/>
  <c r="M14" i="5"/>
  <c r="N13" i="5"/>
  <c r="N17" i="5"/>
  <c r="G16" i="5"/>
  <c r="M16" i="5"/>
  <c r="F14" i="5"/>
  <c r="F15" i="5"/>
  <c r="J18" i="5"/>
  <c r="E18" i="5"/>
  <c r="K18" i="5"/>
  <c r="C17" i="5"/>
  <c r="F17" i="5"/>
  <c r="H12" i="5"/>
  <c r="D16" i="5"/>
  <c r="AK3" i="4"/>
  <c r="AK58" i="4" s="1"/>
  <c r="AK66" i="4" s="1"/>
  <c r="P16" i="5"/>
  <c r="AI86" i="3"/>
  <c r="AI90" i="3" s="1"/>
  <c r="AI99" i="3" s="1"/>
  <c r="AI67" i="3"/>
  <c r="AI80" i="3" s="1"/>
  <c r="AI19" i="3"/>
  <c r="C9" i="6" s="1"/>
  <c r="C23" i="6" s="1"/>
  <c r="B23" i="6" s="1"/>
  <c r="D28" i="3" l="1"/>
  <c r="C28" i="3" s="1"/>
  <c r="B26" i="6"/>
  <c r="D46" i="3"/>
  <c r="D47" i="3" s="1"/>
  <c r="F36" i="5"/>
  <c r="D30" i="3"/>
  <c r="D33" i="3"/>
  <c r="G38" i="5"/>
  <c r="D20" i="3"/>
  <c r="D21" i="3" s="1"/>
  <c r="G32" i="5"/>
  <c r="F34" i="5"/>
  <c r="B16" i="6"/>
  <c r="C37" i="6"/>
  <c r="B37" i="6" s="1"/>
  <c r="H35" i="5"/>
  <c r="C33" i="5"/>
  <c r="I36" i="5"/>
  <c r="E38" i="5"/>
  <c r="H30" i="4"/>
  <c r="H47" i="4" s="1"/>
  <c r="E35" i="5"/>
  <c r="H37" i="5"/>
  <c r="I34" i="5"/>
  <c r="C32" i="5"/>
  <c r="H33" i="5"/>
  <c r="H34" i="5"/>
  <c r="G37" i="5"/>
  <c r="E33" i="5"/>
  <c r="G34" i="5"/>
  <c r="I32" i="5"/>
  <c r="D33" i="5"/>
  <c r="F35" i="5"/>
  <c r="G36" i="5"/>
  <c r="C34" i="5"/>
  <c r="E34" i="5"/>
  <c r="G35" i="5"/>
  <c r="F37" i="5"/>
  <c r="F38" i="5"/>
  <c r="I38" i="5"/>
  <c r="D38" i="5"/>
  <c r="D35" i="5"/>
  <c r="C35" i="5"/>
  <c r="C36" i="5"/>
  <c r="H32" i="5"/>
  <c r="D36" i="5"/>
  <c r="D32" i="5"/>
  <c r="I35" i="5"/>
  <c r="E36" i="5"/>
  <c r="D34" i="5"/>
  <c r="H52" i="4"/>
  <c r="I33" i="5"/>
  <c r="D37" i="5"/>
  <c r="C37" i="5"/>
  <c r="H15" i="4"/>
  <c r="D16" i="4" s="1"/>
  <c r="C11" i="7" s="1"/>
  <c r="A33" i="7" s="1"/>
  <c r="B33" i="7" s="1"/>
  <c r="I37" i="5"/>
  <c r="E37" i="5"/>
  <c r="H38" i="5"/>
  <c r="H36" i="5"/>
  <c r="G33" i="5"/>
  <c r="F33" i="5"/>
  <c r="C38" i="5"/>
  <c r="H67" i="4"/>
  <c r="AI16" i="5" s="1"/>
  <c r="F32" i="5"/>
  <c r="D39" i="3"/>
  <c r="D40" i="3" s="1"/>
  <c r="D16" i="3"/>
  <c r="C11" i="6" s="1"/>
  <c r="A33" i="6" s="1"/>
  <c r="B33" i="6" s="1"/>
  <c r="AK22" i="4"/>
  <c r="C9" i="7" s="1"/>
  <c r="C23" i="7" s="1"/>
  <c r="B23" i="7" s="1"/>
  <c r="D14" i="3"/>
  <c r="C14" i="3" s="1"/>
  <c r="AK73" i="4"/>
  <c r="AK84" i="4" s="1"/>
  <c r="AK33" i="4"/>
  <c r="AK53" i="4" s="1"/>
  <c r="D29" i="3"/>
  <c r="D23" i="6"/>
  <c r="T38" i="5" l="1"/>
  <c r="H61" i="4"/>
  <c r="D22" i="4"/>
  <c r="D20" i="4"/>
  <c r="D21" i="4" s="1"/>
  <c r="C20" i="3"/>
  <c r="D30" i="4"/>
  <c r="Z35" i="5"/>
  <c r="Z32" i="5"/>
  <c r="AI17" i="5"/>
  <c r="AH17" i="5"/>
  <c r="D37" i="6"/>
  <c r="D33" i="7"/>
  <c r="AJ14" i="5"/>
  <c r="W33" i="5"/>
  <c r="Z38" i="5"/>
  <c r="T35" i="5"/>
  <c r="AH13" i="5"/>
  <c r="T36" i="5"/>
  <c r="T32" i="5"/>
  <c r="W38" i="5"/>
  <c r="AJ16" i="5"/>
  <c r="D14" i="4"/>
  <c r="D15" i="4" s="1"/>
  <c r="AJ17" i="5"/>
  <c r="X32" i="5"/>
  <c r="U33" i="5"/>
  <c r="T37" i="5"/>
  <c r="AJ13" i="5"/>
  <c r="H76" i="4"/>
  <c r="D42" i="4" s="1"/>
  <c r="D43" i="4" s="1"/>
  <c r="AI14" i="5"/>
  <c r="W35" i="5"/>
  <c r="X38" i="5"/>
  <c r="Y35" i="5"/>
  <c r="V37" i="5"/>
  <c r="V33" i="5"/>
  <c r="T33" i="5"/>
  <c r="U37" i="5"/>
  <c r="Z36" i="5"/>
  <c r="V35" i="5"/>
  <c r="T34" i="5"/>
  <c r="AJ15" i="5"/>
  <c r="AI13" i="5"/>
  <c r="AG17" i="5"/>
  <c r="C8" i="7"/>
  <c r="C16" i="7" s="1"/>
  <c r="B16" i="7" s="1"/>
  <c r="AG14" i="5"/>
  <c r="AJ12" i="5"/>
  <c r="X33" i="5"/>
  <c r="AF15" i="5"/>
  <c r="AI12" i="5"/>
  <c r="Y33" i="5"/>
  <c r="Y34" i="5"/>
  <c r="AH15" i="5"/>
  <c r="AH12" i="5"/>
  <c r="AF16" i="5"/>
  <c r="Z37" i="5"/>
  <c r="U35" i="5"/>
  <c r="X36" i="5"/>
  <c r="Y32" i="5"/>
  <c r="W34" i="5"/>
  <c r="X34" i="5"/>
  <c r="Y37" i="5"/>
  <c r="Y36" i="5"/>
  <c r="U36" i="5"/>
  <c r="W36" i="5"/>
  <c r="U38" i="5"/>
  <c r="AH16" i="5"/>
  <c r="AF12" i="5"/>
  <c r="V32" i="5"/>
  <c r="AG12" i="5"/>
  <c r="D33" i="6"/>
  <c r="AH14" i="5"/>
  <c r="AF13" i="5"/>
  <c r="AG15" i="5"/>
  <c r="AG16" i="5"/>
  <c r="Z34" i="5"/>
  <c r="V38" i="5"/>
  <c r="Y38" i="5"/>
  <c r="V34" i="5"/>
  <c r="X35" i="5"/>
  <c r="X37" i="5"/>
  <c r="U34" i="5"/>
  <c r="W37" i="5"/>
  <c r="V36" i="5"/>
  <c r="W32" i="5"/>
  <c r="Z33" i="5"/>
  <c r="U32" i="5"/>
  <c r="AI15" i="5"/>
  <c r="AF17" i="5"/>
  <c r="AG13" i="5"/>
  <c r="AF14" i="5"/>
  <c r="C39" i="3"/>
  <c r="C46" i="3"/>
  <c r="D15" i="3"/>
  <c r="D23" i="7"/>
  <c r="C14" i="4" l="1"/>
  <c r="D33" i="4"/>
  <c r="D28" i="4"/>
  <c r="C37" i="7" s="1"/>
  <c r="D37" i="7" s="1"/>
  <c r="D16" i="7"/>
  <c r="C20" i="4"/>
  <c r="C42" i="4"/>
  <c r="D47" i="4"/>
  <c r="D44" i="4"/>
  <c r="B37" i="7" l="1"/>
  <c r="D29" i="4"/>
  <c r="C28" i="4"/>
</calcChain>
</file>

<file path=xl/comments1.xml><?xml version="1.0" encoding="utf-8"?>
<comments xmlns="http://schemas.openxmlformats.org/spreadsheetml/2006/main">
  <authors>
    <author>Rainer Trauernicht</author>
  </authors>
  <commentList>
    <comment ref="AS50" authorId="0">
      <text>
        <r>
          <rPr>
            <b/>
            <sz val="9"/>
            <color indexed="81"/>
            <rFont val="Tahoma"/>
            <family val="2"/>
          </rPr>
          <t>Rainer Trauernicht:</t>
        </r>
        <r>
          <rPr>
            <sz val="9"/>
            <color indexed="81"/>
            <rFont val="Tahoma"/>
            <family val="2"/>
          </rPr>
          <t xml:space="preserve">
27.03.2008
lt Telefonat mit Herrn Meier Hedde kann bei Annahme beider statischer Werte der Rinne der Wert aus der Statik mit 1,189 multipliziert werden.</t>
        </r>
      </text>
    </comment>
    <comment ref="BT50" authorId="0">
      <text>
        <r>
          <rPr>
            <b/>
            <sz val="9"/>
            <color indexed="81"/>
            <rFont val="Tahoma"/>
            <family val="2"/>
          </rPr>
          <t>Rainer Trauernicht:</t>
        </r>
        <r>
          <rPr>
            <sz val="9"/>
            <color indexed="81"/>
            <rFont val="Tahoma"/>
            <family val="2"/>
          </rPr>
          <t xml:space="preserve">
27.03.2008
lt Telefonat mit Herrn Meier Hedde kann bei Annahme beider statischer Werte der Rinne der Wert aus der Statik mit 1,189 multipliziert werden.</t>
        </r>
      </text>
    </comment>
    <comment ref="AS51" authorId="0">
      <text>
        <r>
          <rPr>
            <b/>
            <sz val="9"/>
            <color indexed="81"/>
            <rFont val="Tahoma"/>
            <family val="2"/>
          </rPr>
          <t>Rainer Trauernicht:</t>
        </r>
        <r>
          <rPr>
            <sz val="9"/>
            <color indexed="81"/>
            <rFont val="Tahoma"/>
            <family val="2"/>
          </rPr>
          <t xml:space="preserve">
27.03.2008
lt Telefonat mit Herrn Meier Hedde kann bei Annahme beider statischer Werte der Rinne der Wert aus der Statik mit 1,092 multipliziert werden.</t>
        </r>
      </text>
    </comment>
    <comment ref="BT51" authorId="0">
      <text>
        <r>
          <rPr>
            <b/>
            <sz val="9"/>
            <color indexed="81"/>
            <rFont val="Tahoma"/>
            <family val="2"/>
          </rPr>
          <t>Rainer Trauernicht:</t>
        </r>
        <r>
          <rPr>
            <sz val="9"/>
            <color indexed="81"/>
            <rFont val="Tahoma"/>
            <family val="2"/>
          </rPr>
          <t xml:space="preserve">
27.03.2008
lt Telefonat mit Herrn Meier Hedde kann bei Annahme beider statischer Werte der Rinne der Wert aus der Statik mit 1,092 multipliziert werden.</t>
        </r>
      </text>
    </comment>
  </commentList>
</comments>
</file>

<file path=xl/sharedStrings.xml><?xml version="1.0" encoding="utf-8"?>
<sst xmlns="http://schemas.openxmlformats.org/spreadsheetml/2006/main" count="1306" uniqueCount="568">
  <si>
    <t>=</t>
  </si>
  <si>
    <t>Schneelastzone</t>
  </si>
  <si>
    <t>1a</t>
  </si>
  <si>
    <t>2a</t>
  </si>
  <si>
    <t>Dachneigung WG</t>
  </si>
  <si>
    <t>Stegplatte</t>
  </si>
  <si>
    <t>10mm VSG</t>
  </si>
  <si>
    <t>Korrekturfaktoren</t>
  </si>
  <si>
    <r>
      <t>Dachlast g</t>
    </r>
    <r>
      <rPr>
        <vertAlign val="subscript"/>
        <sz val="10"/>
        <rFont val="Arial"/>
        <family val="2"/>
      </rPr>
      <t>Da</t>
    </r>
  </si>
  <si>
    <r>
      <t>Tiefe WG b</t>
    </r>
    <r>
      <rPr>
        <vertAlign val="subscript"/>
        <sz val="10"/>
        <rFont val="Arial"/>
        <family val="2"/>
      </rPr>
      <t>2</t>
    </r>
  </si>
  <si>
    <t>Träger</t>
  </si>
  <si>
    <t>577100+I120</t>
  </si>
  <si>
    <t>577233+30*30*2</t>
  </si>
  <si>
    <t>577235+70*30*3</t>
  </si>
  <si>
    <t>577239+80*60*3</t>
  </si>
  <si>
    <t>577239+80*60*5</t>
  </si>
  <si>
    <t>577240+50*10</t>
  </si>
  <si>
    <t>Sparren-Achsabstand</t>
  </si>
  <si>
    <t>Achsabstand</t>
  </si>
  <si>
    <t>577240</t>
  </si>
  <si>
    <t>577235</t>
  </si>
  <si>
    <t>l</t>
  </si>
  <si>
    <t>577100</t>
  </si>
  <si>
    <t>577233</t>
  </si>
  <si>
    <t>577239</t>
  </si>
  <si>
    <t>Windzone WZ</t>
  </si>
  <si>
    <t>577102</t>
  </si>
  <si>
    <t>577104</t>
  </si>
  <si>
    <t>Seitenträger</t>
  </si>
  <si>
    <t>Rinne</t>
  </si>
  <si>
    <t>5772033+100*20*3</t>
  </si>
  <si>
    <t>5772033+120*10+100*20*3</t>
  </si>
  <si>
    <t>577207+110*15</t>
  </si>
  <si>
    <t>5772033</t>
  </si>
  <si>
    <t>577207</t>
  </si>
  <si>
    <t>Tiefe</t>
  </si>
  <si>
    <t>1, Binnenland</t>
  </si>
  <si>
    <t>2, Binnenland</t>
  </si>
  <si>
    <t>2, Küste und Inseln der Ostsee</t>
  </si>
  <si>
    <t>3, Binnenland</t>
  </si>
  <si>
    <t>3, Küste und Inseln der Ostsee</t>
  </si>
  <si>
    <t>4, Binnenland</t>
  </si>
  <si>
    <t>4, Küste der Nord- und Ostsee und Inseln der Ostsee</t>
  </si>
  <si>
    <t>4, Inseln der Nordsee</t>
  </si>
  <si>
    <t>Kunde:</t>
  </si>
  <si>
    <t>BV:</t>
  </si>
  <si>
    <t>Korrekturfaktor k für Rinnenermittlung</t>
  </si>
  <si>
    <r>
      <t>s</t>
    </r>
    <r>
      <rPr>
        <vertAlign val="subscript"/>
        <sz val="10"/>
        <rFont val="Arial"/>
        <family val="2"/>
      </rPr>
      <t>Da</t>
    </r>
  </si>
  <si>
    <t>Norddeutsches Tiefland</t>
  </si>
  <si>
    <t>ja</t>
  </si>
  <si>
    <t>nein</t>
  </si>
  <si>
    <t>26105+100x10</t>
  </si>
  <si>
    <t>26105</t>
  </si>
  <si>
    <t>26106+100x10</t>
  </si>
  <si>
    <t>26106</t>
  </si>
  <si>
    <t>Serie Veranda</t>
  </si>
  <si>
    <t>Serie T</t>
  </si>
  <si>
    <t>k - Serie T</t>
  </si>
  <si>
    <t>k - Serie Veranda</t>
  </si>
  <si>
    <t>26107+100x10</t>
  </si>
  <si>
    <t>541514+Z-Profil</t>
  </si>
  <si>
    <t>541514+110x15</t>
  </si>
  <si>
    <t>541514</t>
  </si>
  <si>
    <t>26107</t>
  </si>
  <si>
    <t>26101</t>
  </si>
  <si>
    <t>26101+100x20x3</t>
  </si>
  <si>
    <t>Gratsparren</t>
  </si>
  <si>
    <t>Bemessungstabelle: Pos. 1.12 Gratsparren (Typ 17)</t>
  </si>
  <si>
    <t>l zul</t>
  </si>
  <si>
    <t>Bemessungstabelle: Pos. 1.11 Gratsparren (Typ 5)</t>
  </si>
  <si>
    <t>Träger isoliert</t>
  </si>
  <si>
    <t>Sparrenabstand</t>
  </si>
  <si>
    <t>Schneelast:</t>
  </si>
  <si>
    <t>Verglasung:</t>
  </si>
  <si>
    <t>Dachneigung:</t>
  </si>
  <si>
    <t>Träger unisoliert</t>
  </si>
  <si>
    <t>Rinnen isoliert</t>
  </si>
  <si>
    <t>Rinnen unisoliert</t>
  </si>
  <si>
    <t>Unterzug</t>
  </si>
  <si>
    <t>Trägerlänge bis Unterzung l</t>
  </si>
  <si>
    <r>
      <t>Dachüberstand l</t>
    </r>
    <r>
      <rPr>
        <vertAlign val="subscript"/>
        <sz val="10"/>
        <rFont val="Arial"/>
        <family val="2"/>
      </rPr>
      <t>ü</t>
    </r>
  </si>
  <si>
    <r>
      <t>l</t>
    </r>
    <r>
      <rPr>
        <vertAlign val="subscript"/>
        <sz val="10"/>
        <rFont val="Arial"/>
        <family val="2"/>
      </rPr>
      <t>m</t>
    </r>
  </si>
  <si>
    <t>b</t>
  </si>
  <si>
    <t>579275</t>
  </si>
  <si>
    <t>577100+120*50*3</t>
  </si>
  <si>
    <t>577100+120*50*5</t>
  </si>
  <si>
    <t>579275+100*50*4</t>
  </si>
  <si>
    <t>l/200</t>
  </si>
  <si>
    <t>l/250</t>
  </si>
  <si>
    <t>l/300</t>
  </si>
  <si>
    <t>zul. Durchbiegung</t>
  </si>
  <si>
    <t>579225</t>
  </si>
  <si>
    <t>579225+100*50*4</t>
  </si>
  <si>
    <t>max. Stützweite b</t>
  </si>
  <si>
    <t>zul. Durchbiegung:</t>
  </si>
  <si>
    <t>Windzone:</t>
  </si>
  <si>
    <t>Randbedingungen</t>
  </si>
  <si>
    <t>vorhanden</t>
  </si>
  <si>
    <t>nicht vorhanden</t>
  </si>
  <si>
    <t>Bemessungstabelle: Pos. 1.1 Mittelträger unisoliert</t>
  </si>
  <si>
    <t>Schneelast</t>
  </si>
  <si>
    <t>isoliert</t>
  </si>
  <si>
    <t>unisoiert</t>
  </si>
  <si>
    <t>Dachneigungen</t>
  </si>
  <si>
    <t>für Statiktabellen</t>
  </si>
  <si>
    <t>ISO-VSG (6+8)</t>
  </si>
  <si>
    <t>ISO-VSG (8+4+8)</t>
  </si>
  <si>
    <t>Achsabstand:</t>
  </si>
  <si>
    <t>545444</t>
  </si>
  <si>
    <t>545444+120x50x3</t>
  </si>
  <si>
    <t>545444+120x50x5</t>
  </si>
  <si>
    <t>545444+I120</t>
  </si>
  <si>
    <t>545444+U120</t>
  </si>
  <si>
    <t>541493</t>
  </si>
  <si>
    <t>541493+120*50*3</t>
  </si>
  <si>
    <t>541493+120*50*5</t>
  </si>
  <si>
    <t>541493+I120</t>
  </si>
  <si>
    <t>541493+U120</t>
  </si>
  <si>
    <t>Unterzug 541493 unisoliert</t>
  </si>
  <si>
    <t>l/500</t>
  </si>
  <si>
    <t>5772424</t>
  </si>
  <si>
    <t>5772424+I120</t>
  </si>
  <si>
    <t>5772424+U120</t>
  </si>
  <si>
    <t>1</t>
  </si>
  <si>
    <t>2</t>
  </si>
  <si>
    <t>3</t>
  </si>
  <si>
    <t>Bedingung</t>
  </si>
  <si>
    <t>261051</t>
  </si>
  <si>
    <t>261051+100x10</t>
  </si>
  <si>
    <t>261071</t>
  </si>
  <si>
    <t>261071+100x10</t>
  </si>
  <si>
    <t>5415141</t>
  </si>
  <si>
    <t>5415141+110x15</t>
  </si>
  <si>
    <t>5415141+Z-Profil</t>
  </si>
  <si>
    <t>261072</t>
  </si>
  <si>
    <t>261072+100x10</t>
  </si>
  <si>
    <t>5415151</t>
  </si>
  <si>
    <t>5415151+110x15</t>
  </si>
  <si>
    <t>5415151+Z-Profil</t>
  </si>
  <si>
    <t>261073</t>
  </si>
  <si>
    <t>261073+100x10</t>
  </si>
  <si>
    <t>541492</t>
  </si>
  <si>
    <t>541492+IPE160</t>
  </si>
  <si>
    <t>577333</t>
  </si>
  <si>
    <t>577333+30*30*2</t>
  </si>
  <si>
    <t>577335</t>
  </si>
  <si>
    <t>577335+70*30*3</t>
  </si>
  <si>
    <t>577339</t>
  </si>
  <si>
    <t>577339+80*60*3</t>
  </si>
  <si>
    <t>577339+80*60*5</t>
  </si>
  <si>
    <t>577337</t>
  </si>
  <si>
    <t>577337+70*30*3</t>
  </si>
  <si>
    <t>Schneelast auf dem Boden</t>
  </si>
  <si>
    <r>
      <t>my</t>
    </r>
    <r>
      <rPr>
        <vertAlign val="subscript"/>
        <sz val="10"/>
        <rFont val="Arial"/>
        <family val="2"/>
      </rPr>
      <t>1</t>
    </r>
  </si>
  <si>
    <r>
      <t>my</t>
    </r>
    <r>
      <rPr>
        <vertAlign val="subscript"/>
        <sz val="10"/>
        <rFont val="Arial"/>
        <family val="2"/>
      </rPr>
      <t>s</t>
    </r>
  </si>
  <si>
    <r>
      <t>my</t>
    </r>
    <r>
      <rPr>
        <vertAlign val="subscript"/>
        <sz val="10"/>
        <rFont val="Arial"/>
        <family val="2"/>
      </rPr>
      <t>w</t>
    </r>
  </si>
  <si>
    <r>
      <t>s</t>
    </r>
    <r>
      <rPr>
        <b/>
        <vertAlign val="subscript"/>
        <sz val="10"/>
        <rFont val="Arial"/>
        <family val="2"/>
      </rPr>
      <t>k</t>
    </r>
  </si>
  <si>
    <r>
      <t>Schneelast oben s</t>
    </r>
    <r>
      <rPr>
        <vertAlign val="subscript"/>
        <sz val="10"/>
        <rFont val="Arial"/>
        <family val="2"/>
      </rPr>
      <t>o</t>
    </r>
  </si>
  <si>
    <r>
      <t>Schneelast unten s</t>
    </r>
    <r>
      <rPr>
        <vertAlign val="subscript"/>
        <sz val="10"/>
        <rFont val="Arial"/>
        <family val="2"/>
      </rPr>
      <t>u</t>
    </r>
  </si>
  <si>
    <t>mittlerer Höhenversprung h</t>
  </si>
  <si>
    <r>
      <t>Tiefe der Dachfläche des vorh. Gebäudes b</t>
    </r>
    <r>
      <rPr>
        <vertAlign val="subscript"/>
        <sz val="10"/>
        <rFont val="Arial"/>
        <family val="2"/>
      </rPr>
      <t>S</t>
    </r>
  </si>
  <si>
    <t>Dachneigung des vorh. Gebäudes x</t>
  </si>
  <si>
    <r>
      <t>Tiefe des vorh. Gebäudes (oft "Firstlänge") b</t>
    </r>
    <r>
      <rPr>
        <vertAlign val="subscript"/>
        <sz val="10"/>
        <rFont val="Arial"/>
        <family val="2"/>
      </rPr>
      <t>1</t>
    </r>
  </si>
  <si>
    <r>
      <t>1a) Schnee s</t>
    </r>
    <r>
      <rPr>
        <vertAlign val="subscript"/>
        <sz val="10"/>
        <rFont val="Arial"/>
        <family val="2"/>
      </rPr>
      <t xml:space="preserve">DA </t>
    </r>
  </si>
  <si>
    <t>1a) Verglasung</t>
  </si>
  <si>
    <t>1a) Wind</t>
  </si>
  <si>
    <t>1a) Dachneigung</t>
  </si>
  <si>
    <t>1a) Tabellenwert l</t>
  </si>
  <si>
    <r>
      <t>1a) s</t>
    </r>
    <r>
      <rPr>
        <vertAlign val="subscript"/>
        <sz val="10"/>
        <rFont val="Arial"/>
        <family val="2"/>
      </rPr>
      <t>DA</t>
    </r>
  </si>
  <si>
    <r>
      <t>1a) k</t>
    </r>
    <r>
      <rPr>
        <vertAlign val="subscript"/>
        <sz val="10"/>
        <rFont val="Arial"/>
        <family val="2"/>
      </rPr>
      <t>i</t>
    </r>
  </si>
  <si>
    <t>normale Schneelast sDa</t>
  </si>
  <si>
    <t>außergewöhnliche Schneelast sa</t>
  </si>
  <si>
    <t>1a) Träger</t>
  </si>
  <si>
    <t>1b) Korrekturfaktoren</t>
  </si>
  <si>
    <t>1b) sDA</t>
  </si>
  <si>
    <t>1b) ki</t>
  </si>
  <si>
    <t>1b) Träger</t>
  </si>
  <si>
    <t>1b) Verglasung</t>
  </si>
  <si>
    <t xml:space="preserve">1b) Schnee sDA </t>
  </si>
  <si>
    <t>1b) Wind</t>
  </si>
  <si>
    <t>1b) Dachneigung</t>
  </si>
  <si>
    <t>1b) Tabellenwert l</t>
  </si>
  <si>
    <t>1c) Korrekturfaktoren</t>
  </si>
  <si>
    <t>1c) ki</t>
  </si>
  <si>
    <t>1c) Träger</t>
  </si>
  <si>
    <t>1c) Verglasung</t>
  </si>
  <si>
    <t>1c) Wind</t>
  </si>
  <si>
    <t>1c) Dachneigung</t>
  </si>
  <si>
    <t>1c) Tabellenwert l</t>
  </si>
  <si>
    <t>1c) außergewöhnliche Schneelast sa</t>
  </si>
  <si>
    <r>
      <t>1c) s</t>
    </r>
    <r>
      <rPr>
        <vertAlign val="subscript"/>
        <sz val="10"/>
        <rFont val="Arial"/>
        <family val="2"/>
      </rPr>
      <t>a</t>
    </r>
  </si>
  <si>
    <t>2a) Verglasung</t>
  </si>
  <si>
    <t xml:space="preserve">2a) Schnee sDA </t>
  </si>
  <si>
    <t>2a) Wind</t>
  </si>
  <si>
    <t>2a) Dachneigung</t>
  </si>
  <si>
    <t>2a) Seitenträger</t>
  </si>
  <si>
    <t>2b) Seitenträger</t>
  </si>
  <si>
    <t>2b) Verglasung</t>
  </si>
  <si>
    <t xml:space="preserve">2b) Schnee sDA </t>
  </si>
  <si>
    <t>2b) Wind</t>
  </si>
  <si>
    <t>2b) Dachneigung</t>
  </si>
  <si>
    <t>2b) Tabellenwert l</t>
  </si>
  <si>
    <t>2c) Seitenträger</t>
  </si>
  <si>
    <t>2c) Verglasung</t>
  </si>
  <si>
    <t>2c) Wind</t>
  </si>
  <si>
    <t>2c) Dachneigung</t>
  </si>
  <si>
    <t>2c) Tabellenwert l</t>
  </si>
  <si>
    <t>3a) Verglasung</t>
  </si>
  <si>
    <t xml:space="preserve">3a) Schnee sDA </t>
  </si>
  <si>
    <t>3a) Wind</t>
  </si>
  <si>
    <t>3a) Dachneigung</t>
  </si>
  <si>
    <t>3a) Faktor Trägergewicht</t>
  </si>
  <si>
    <t>gewählte  Stützweite b</t>
  </si>
  <si>
    <t>3a) zul. Durchbiegung</t>
  </si>
  <si>
    <t>2a) Tabellenwert l</t>
  </si>
  <si>
    <t>3a) Rinne</t>
  </si>
  <si>
    <t>1a) Korrekturfaktoren Träger</t>
  </si>
  <si>
    <t>2a) Korrekturfaktoren Seitenträger</t>
  </si>
  <si>
    <t>3a) Korrekturfaktoren Rinne</t>
  </si>
  <si>
    <t>3b) Korrekturfaktoren Rinne</t>
  </si>
  <si>
    <t>3b) Rinne</t>
  </si>
  <si>
    <t>3b) Verglasung</t>
  </si>
  <si>
    <t xml:space="preserve">3b) Schnee sDA </t>
  </si>
  <si>
    <t>3b) Wind</t>
  </si>
  <si>
    <t>3b) Dachneigung</t>
  </si>
  <si>
    <t>3b) Faktor Trägergewicht</t>
  </si>
  <si>
    <t>3b) zul. Durchbiegung</t>
  </si>
  <si>
    <t>3c) Korrekturfaktoren Rinne</t>
  </si>
  <si>
    <t>3c) Rinne</t>
  </si>
  <si>
    <t>3c) Verglasung</t>
  </si>
  <si>
    <t>3c) Wind</t>
  </si>
  <si>
    <t>3c) Dachneigung</t>
  </si>
  <si>
    <t>3c) Faktor Trägergewicht</t>
  </si>
  <si>
    <t>3c) zul. Durchbiegung</t>
  </si>
  <si>
    <t>2c) außergewöhnliche Schneelast sa</t>
  </si>
  <si>
    <t>3c) außergewöhnliche Schneelast sa</t>
  </si>
  <si>
    <t>Bemessungstabelle: Pos. 3.1 Rinne unisoliert</t>
  </si>
  <si>
    <t>Bemssungstabelle: Pos. 2.1 Seitenträger unisoliert</t>
  </si>
  <si>
    <r>
      <t>1a) Korrigierter l</t>
    </r>
    <r>
      <rPr>
        <vertAlign val="subscript"/>
        <sz val="10"/>
        <rFont val="Arial"/>
        <family val="2"/>
      </rPr>
      <t>zul1</t>
    </r>
  </si>
  <si>
    <r>
      <t>1b) Korrigierter l</t>
    </r>
    <r>
      <rPr>
        <vertAlign val="subscript"/>
        <sz val="10"/>
        <rFont val="Arial"/>
        <family val="2"/>
      </rPr>
      <t>zul2</t>
    </r>
  </si>
  <si>
    <r>
      <t>1c) Korrigierter l</t>
    </r>
    <r>
      <rPr>
        <vertAlign val="subscript"/>
        <sz val="10"/>
        <rFont val="Arial"/>
        <family val="2"/>
      </rPr>
      <t>zul3</t>
    </r>
  </si>
  <si>
    <r>
      <t>2a) Korrigierter l</t>
    </r>
    <r>
      <rPr>
        <vertAlign val="subscript"/>
        <sz val="10"/>
        <rFont val="Arial"/>
        <family val="2"/>
      </rPr>
      <t>zul1</t>
    </r>
  </si>
  <si>
    <r>
      <t>2b) Korrigierter l</t>
    </r>
    <r>
      <rPr>
        <vertAlign val="subscript"/>
        <sz val="10"/>
        <rFont val="Arial"/>
        <family val="2"/>
      </rPr>
      <t>zul2</t>
    </r>
  </si>
  <si>
    <r>
      <t>2c) Korrigierter l</t>
    </r>
    <r>
      <rPr>
        <vertAlign val="subscript"/>
        <sz val="10"/>
        <rFont val="Arial"/>
        <family val="2"/>
      </rPr>
      <t>zul3</t>
    </r>
  </si>
  <si>
    <t>4a) Verglasung</t>
  </si>
  <si>
    <t xml:space="preserve">4a) Schnee sDA </t>
  </si>
  <si>
    <t>4a) Wind</t>
  </si>
  <si>
    <t>4a) Dachneigung</t>
  </si>
  <si>
    <t>4a) Faktor Trägergewicht</t>
  </si>
  <si>
    <t>541493+I120+2*100*10</t>
  </si>
  <si>
    <t>4a) zul. Durchbiegung</t>
  </si>
  <si>
    <t>4a) Korrekturfaktoren Unterzug</t>
  </si>
  <si>
    <t>4a) Unterzug</t>
  </si>
  <si>
    <r>
      <t>3a) Korrigierter b</t>
    </r>
    <r>
      <rPr>
        <vertAlign val="subscript"/>
        <sz val="10"/>
        <rFont val="Arial"/>
        <family val="2"/>
      </rPr>
      <t>zul</t>
    </r>
  </si>
  <si>
    <t>3b) Tabellenwert b</t>
  </si>
  <si>
    <t>3c) Tabellenwert b</t>
  </si>
  <si>
    <r>
      <t>3b) Korrigierter b</t>
    </r>
    <r>
      <rPr>
        <vertAlign val="subscript"/>
        <sz val="10"/>
        <rFont val="Arial"/>
        <family val="2"/>
      </rPr>
      <t>zul</t>
    </r>
  </si>
  <si>
    <r>
      <t>3c) Korrigierter b</t>
    </r>
    <r>
      <rPr>
        <vertAlign val="subscript"/>
        <sz val="10"/>
        <rFont val="Arial"/>
        <family val="2"/>
      </rPr>
      <t>zul</t>
    </r>
  </si>
  <si>
    <t>3a) Tabellenwert b</t>
  </si>
  <si>
    <t>4b) Korrekturfaktoren Unterzug</t>
  </si>
  <si>
    <t>4b) Unterzug</t>
  </si>
  <si>
    <t>4b) Verglasung</t>
  </si>
  <si>
    <t xml:space="preserve">4b) Schnee sDA </t>
  </si>
  <si>
    <t>4b) Wind</t>
  </si>
  <si>
    <t>4b) Dachneigung</t>
  </si>
  <si>
    <t>4b) Faktor Trägergewicht</t>
  </si>
  <si>
    <t>4b) zul. Durchbiegung</t>
  </si>
  <si>
    <t>4c) Korrekturfaktoren Unterzug</t>
  </si>
  <si>
    <t>4c) Unterzug</t>
  </si>
  <si>
    <t>4c) Verglasung</t>
  </si>
  <si>
    <t xml:space="preserve">4c) Schnee sDA </t>
  </si>
  <si>
    <t>4c) Wind</t>
  </si>
  <si>
    <t>4c) Dachneigung</t>
  </si>
  <si>
    <t>4c) Faktor Trägergewicht</t>
  </si>
  <si>
    <t>4c) zul. Durchbiegung</t>
  </si>
  <si>
    <t>4a) Tabellenwert b</t>
  </si>
  <si>
    <r>
      <t>4a) Korrigierter b</t>
    </r>
    <r>
      <rPr>
        <vertAlign val="subscript"/>
        <sz val="10"/>
        <rFont val="Arial"/>
        <family val="2"/>
      </rPr>
      <t>zul</t>
    </r>
  </si>
  <si>
    <t>4b) Tabellenwert b</t>
  </si>
  <si>
    <r>
      <t>4b) Korrigierter b</t>
    </r>
    <r>
      <rPr>
        <vertAlign val="subscript"/>
        <sz val="10"/>
        <rFont val="Arial"/>
        <family val="2"/>
      </rPr>
      <t>zul</t>
    </r>
  </si>
  <si>
    <t>4c) Tabellenwert b</t>
  </si>
  <si>
    <r>
      <t>4c) Korrigierter b</t>
    </r>
    <r>
      <rPr>
        <vertAlign val="subscript"/>
        <sz val="10"/>
        <rFont val="Arial"/>
        <family val="2"/>
      </rPr>
      <t>zul</t>
    </r>
  </si>
  <si>
    <t>Bemessungstabelle: Pos. 4.1 Unterzug unisoliert</t>
  </si>
  <si>
    <t>gewählte Stützweite b</t>
  </si>
  <si>
    <t>ISO-VSG (8+4+6)</t>
  </si>
  <si>
    <t>Bemessungstabelle 1-4a unisoliert</t>
  </si>
  <si>
    <t>Bemessungstabelle 1-4b unisoliert</t>
  </si>
  <si>
    <t>für isoliert!</t>
  </si>
  <si>
    <t>für unisoliert!</t>
  </si>
  <si>
    <t>579500</t>
  </si>
  <si>
    <t>579500+100*50*4</t>
  </si>
  <si>
    <t>1b) Korrekturfaktoren Träger</t>
  </si>
  <si>
    <t>1b) Korrigierter lzul1</t>
  </si>
  <si>
    <t>1c) Korrekturfaktoren Träger</t>
  </si>
  <si>
    <t>1c) Korrigierter lzul1</t>
  </si>
  <si>
    <t>Bemessungstabelle a isoliert</t>
  </si>
  <si>
    <t>Bemessungstabelle b isoliert</t>
  </si>
  <si>
    <t>Bemessungstabelle c isoliert</t>
  </si>
  <si>
    <t>ISO-VSG (6+8), 14mm Glasdicke</t>
  </si>
  <si>
    <t>ISO-VSG (8+4+6), 18mm Glasdicke</t>
  </si>
  <si>
    <t>ISO-VSG (8+6+8), 22mm Glasdicke</t>
  </si>
  <si>
    <t>Bemessungstabelle unisoliert (gilt für alle)</t>
  </si>
  <si>
    <r>
      <t>1c) s</t>
    </r>
    <r>
      <rPr>
        <vertAlign val="subscript"/>
        <sz val="10"/>
        <rFont val="Arial"/>
        <family val="2"/>
      </rPr>
      <t>A</t>
    </r>
  </si>
  <si>
    <r>
      <t>1b) s</t>
    </r>
    <r>
      <rPr>
        <vertAlign val="subscript"/>
        <sz val="10"/>
        <rFont val="Arial"/>
        <family val="2"/>
      </rPr>
      <t>DA</t>
    </r>
  </si>
  <si>
    <r>
      <t>1c) Schnee s</t>
    </r>
    <r>
      <rPr>
        <vertAlign val="subscript"/>
        <sz val="10"/>
        <rFont val="Arial"/>
        <family val="2"/>
      </rPr>
      <t xml:space="preserve">A </t>
    </r>
  </si>
  <si>
    <t>Bemessungstabelle: Pos. 1.1 Mittelträger isoliert</t>
  </si>
  <si>
    <t>2a) Schnee</t>
  </si>
  <si>
    <t>2a) zul. Durchbiegung</t>
  </si>
  <si>
    <t>Bemssungstabelle: Pos. 1.2 Seitenträger isoliert</t>
  </si>
  <si>
    <t>579501</t>
  </si>
  <si>
    <t>579501+100*50*4</t>
  </si>
  <si>
    <t>2b) Korrekturfaktoren Seitenträger</t>
  </si>
  <si>
    <t>2b) Schnee</t>
  </si>
  <si>
    <t>2b) zul. Durchbiegung</t>
  </si>
  <si>
    <t>2b) Korrigierter lzul1</t>
  </si>
  <si>
    <t>2c) Korrekturfaktoren Seitenträger</t>
  </si>
  <si>
    <t>2c) Schnee</t>
  </si>
  <si>
    <t>2c) zul. Durchbiegung</t>
  </si>
  <si>
    <t>2c) Korrigierter lzul1</t>
  </si>
  <si>
    <t>3a) Korrekturfaktoren</t>
  </si>
  <si>
    <t>3a) Schnee</t>
  </si>
  <si>
    <r>
      <t>3a) s</t>
    </r>
    <r>
      <rPr>
        <vertAlign val="subscript"/>
        <sz val="10"/>
        <rFont val="Arial"/>
        <family val="2"/>
      </rPr>
      <t>DA</t>
    </r>
  </si>
  <si>
    <r>
      <t>3a) k</t>
    </r>
    <r>
      <rPr>
        <vertAlign val="subscript"/>
        <sz val="10"/>
        <rFont val="Arial"/>
        <family val="2"/>
      </rPr>
      <t>i</t>
    </r>
  </si>
  <si>
    <t>Bemessungstabelle isoliert 2a: Rinne 2.1</t>
  </si>
  <si>
    <t>3b) Korrekturfaktoren</t>
  </si>
  <si>
    <t>3b) sDA</t>
  </si>
  <si>
    <t>3b) ki</t>
  </si>
  <si>
    <t>3b) Schnee</t>
  </si>
  <si>
    <t>3b) Tabellenwert l</t>
  </si>
  <si>
    <r>
      <t>3b) Korrigierter l</t>
    </r>
    <r>
      <rPr>
        <vertAlign val="subscript"/>
        <sz val="10"/>
        <rFont val="Arial"/>
        <family val="2"/>
      </rPr>
      <t>zul1</t>
    </r>
  </si>
  <si>
    <t>3a) Tabellenwert l</t>
  </si>
  <si>
    <r>
      <t>3a) Korrigierter l</t>
    </r>
    <r>
      <rPr>
        <vertAlign val="subscript"/>
        <sz val="10"/>
        <rFont val="Arial"/>
        <family val="2"/>
      </rPr>
      <t>zul1</t>
    </r>
  </si>
  <si>
    <t>Bemessungstabelle isoliert (gilt für alle Träger)</t>
  </si>
  <si>
    <t>Bemessungstabelle isoliert 2b: Rinne 2.1</t>
  </si>
  <si>
    <t>3c) Korrekturfaktoren</t>
  </si>
  <si>
    <t>3c) Schnee</t>
  </si>
  <si>
    <t>3c) Tabellenwert l</t>
  </si>
  <si>
    <t>3c) Korrigierter lzul1</t>
  </si>
  <si>
    <t>Tiefe Abwalumung c</t>
  </si>
  <si>
    <t>4a) Korrekturfaktoren</t>
  </si>
  <si>
    <t>4a) Schnee</t>
  </si>
  <si>
    <t>577339/9</t>
  </si>
  <si>
    <t>577339/9 + 80x60x3</t>
  </si>
  <si>
    <t>577339/9 + 80x60x5</t>
  </si>
  <si>
    <t>579504/5</t>
  </si>
  <si>
    <t>579504/5 + 100x20x3</t>
  </si>
  <si>
    <t>c</t>
  </si>
  <si>
    <t>4a) Tabellenwert l</t>
  </si>
  <si>
    <r>
      <t>4a) Korrigierter l</t>
    </r>
    <r>
      <rPr>
        <vertAlign val="subscript"/>
        <sz val="10"/>
        <rFont val="Arial"/>
        <family val="2"/>
      </rPr>
      <t>zul1</t>
    </r>
  </si>
  <si>
    <t>4b)  Korrekturfaktoren</t>
  </si>
  <si>
    <t>4b)  Verglasung</t>
  </si>
  <si>
    <t>4b)  Schnee</t>
  </si>
  <si>
    <t>4b)  Wind</t>
  </si>
  <si>
    <t>4b)  Dachneigung</t>
  </si>
  <si>
    <t>4b)  zul. Durchbiegung</t>
  </si>
  <si>
    <t>4b)  Tabellenwert l</t>
  </si>
  <si>
    <t>4b)  Korrigierter lzul1</t>
  </si>
  <si>
    <t>4c)   Korrekturfaktoren</t>
  </si>
  <si>
    <t>4c)   Verglasung</t>
  </si>
  <si>
    <t>4c)   Schnee</t>
  </si>
  <si>
    <t>4c)   Wind</t>
  </si>
  <si>
    <t>4c)   Dachneigung</t>
  </si>
  <si>
    <t>4c)   zul. Durchbiegung</t>
  </si>
  <si>
    <t>4c)   Tabellenwert l</t>
  </si>
  <si>
    <t>4c)   Korrigierter lzul1</t>
  </si>
  <si>
    <t>5a) Korrekturfaktoren</t>
  </si>
  <si>
    <t>5a) Verglasung</t>
  </si>
  <si>
    <t>5a) Schnee</t>
  </si>
  <si>
    <t>5a) Wind</t>
  </si>
  <si>
    <t>5a) Dachneigung</t>
  </si>
  <si>
    <r>
      <t>l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>=l</t>
    </r>
  </si>
  <si>
    <r>
      <t>l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zul</t>
    </r>
  </si>
  <si>
    <r>
      <t>max. Trägerlänge l</t>
    </r>
    <r>
      <rPr>
        <vertAlign val="subscript"/>
        <sz val="10"/>
        <rFont val="Arial"/>
        <family val="2"/>
      </rPr>
      <t>a</t>
    </r>
  </si>
  <si>
    <t>max. Trägerlänge l</t>
  </si>
  <si>
    <t>l max</t>
  </si>
  <si>
    <t>5a) Tabellenwert l</t>
  </si>
  <si>
    <r>
      <t>5a) Korrigierter l</t>
    </r>
    <r>
      <rPr>
        <vertAlign val="subscript"/>
        <sz val="10"/>
        <rFont val="Arial"/>
        <family val="2"/>
      </rPr>
      <t>zul1</t>
    </r>
  </si>
  <si>
    <r>
      <t>Korrekturwert für Fall  l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>= l</t>
    </r>
  </si>
  <si>
    <t>5b) Korrekturfaktoren</t>
  </si>
  <si>
    <t>5b) Verglasung</t>
  </si>
  <si>
    <t>5b) Schnee</t>
  </si>
  <si>
    <t>5b) Wind</t>
  </si>
  <si>
    <t>5b) Dachneigung</t>
  </si>
  <si>
    <t>5b) Tabellenwert l</t>
  </si>
  <si>
    <t>5b) Korrigierter lzul1</t>
  </si>
  <si>
    <t>5c) Korrekturfaktoren</t>
  </si>
  <si>
    <t>5c) Verglasung</t>
  </si>
  <si>
    <t>5c) Schnee</t>
  </si>
  <si>
    <t>5c) Wind</t>
  </si>
  <si>
    <t>5c) Dachneigung</t>
  </si>
  <si>
    <t>5c) Tabellenwert l</t>
  </si>
  <si>
    <t>5c) Korrigierter lzul1</t>
  </si>
  <si>
    <t>1a) k</t>
  </si>
  <si>
    <t>1b) k</t>
  </si>
  <si>
    <t>1c) k</t>
  </si>
  <si>
    <t>3a) k</t>
  </si>
  <si>
    <t>3b) k</t>
  </si>
  <si>
    <t>4a) k</t>
  </si>
  <si>
    <t>5772033+100*20*3+120*10</t>
  </si>
  <si>
    <r>
      <t>l</t>
    </r>
    <r>
      <rPr>
        <vertAlign val="subscript"/>
        <sz val="10"/>
        <rFont val="Arial"/>
        <family val="2"/>
      </rPr>
      <t>vorh</t>
    </r>
  </si>
  <si>
    <r>
      <t>l</t>
    </r>
    <r>
      <rPr>
        <vertAlign val="subscript"/>
        <sz val="10"/>
        <rFont val="Arial"/>
        <family val="2"/>
      </rPr>
      <t>1, zul</t>
    </r>
  </si>
  <si>
    <r>
      <t>l</t>
    </r>
    <r>
      <rPr>
        <vertAlign val="subscript"/>
        <sz val="10"/>
        <rFont val="Arial"/>
        <family val="2"/>
      </rPr>
      <t>2, zul</t>
    </r>
  </si>
  <si>
    <r>
      <t>l</t>
    </r>
    <r>
      <rPr>
        <vertAlign val="subscript"/>
        <sz val="10"/>
        <rFont val="Arial"/>
        <family val="2"/>
      </rPr>
      <t>3, zul</t>
    </r>
  </si>
  <si>
    <t>Durchbiegung w</t>
  </si>
  <si>
    <t>&lt;=</t>
  </si>
  <si>
    <t>577335+70*30*3 im Firstbereich</t>
  </si>
  <si>
    <t>577335+70*30*3 auf ganzer Länge + 62*22 im First</t>
  </si>
  <si>
    <t>577335+70*30*3 auf ganzer Länge, kein Stahl im Stahl</t>
  </si>
  <si>
    <t>577339+80*60*3 auf ganzer Länge, kein Stahl im Stahl</t>
  </si>
  <si>
    <t>577339+80*60*5 im Firstbereich</t>
  </si>
  <si>
    <t>577339+80*60*5 auf ganzer Länge, kein Stahl im Stahl</t>
  </si>
  <si>
    <t>577339+80*60*5 auf ganzer Länge +70*50*5 im First</t>
  </si>
  <si>
    <t>577339+80*60*3 auf ganzer Länge +70*50*5 im First</t>
  </si>
  <si>
    <t>579500+100*50*4 im Firstbereich</t>
  </si>
  <si>
    <t>579500+100*50*4 auf ganzer Länge, kein Stahl in Stahl</t>
  </si>
  <si>
    <t>579500+100*50*4 auf ganzer Länge +90*40*5 im First</t>
  </si>
  <si>
    <t>Nachweis der vertikalen Durchbiegung</t>
  </si>
  <si>
    <t>Nachweis der Spannung im Firstpunkt</t>
  </si>
  <si>
    <t>Profil und Stahleinschub im Firstbereich</t>
  </si>
  <si>
    <t>Korrekturfaktor k</t>
  </si>
  <si>
    <r>
      <t>l</t>
    </r>
    <r>
      <rPr>
        <vertAlign val="subscript"/>
        <sz val="10"/>
        <rFont val="Arial"/>
        <family val="2"/>
      </rPr>
      <t xml:space="preserve">2, zul </t>
    </r>
    <r>
      <rPr>
        <sz val="10"/>
        <rFont val="Arial"/>
        <family val="2"/>
      </rPr>
      <t>* k</t>
    </r>
  </si>
  <si>
    <r>
      <t>l</t>
    </r>
    <r>
      <rPr>
        <vertAlign val="subscript"/>
        <sz val="10"/>
        <rFont val="Arial"/>
        <family val="2"/>
      </rPr>
      <t xml:space="preserve">3, zul </t>
    </r>
    <r>
      <rPr>
        <sz val="10"/>
        <rFont val="Arial"/>
        <family val="2"/>
      </rPr>
      <t>* k</t>
    </r>
  </si>
  <si>
    <t>Rinnenlänge b</t>
  </si>
  <si>
    <t>Nachweis der horizontalen Rinnenverschiebung u</t>
  </si>
  <si>
    <t>u</t>
  </si>
  <si>
    <t>Anzahl Rinnen, die verschiebbar sind</t>
  </si>
  <si>
    <t>8 mm oder b/500</t>
  </si>
  <si>
    <t>Satteldach isoliert, ohne Firstpfette, ohne Zuganker</t>
  </si>
  <si>
    <t>Nachweis Träger: vereinfachte, überschlägliche Bemessung</t>
  </si>
  <si>
    <t>k</t>
  </si>
  <si>
    <t>261051+100*10 im Firstbereich</t>
  </si>
  <si>
    <t>261051+100*10 auf ganzer Länge</t>
  </si>
  <si>
    <t>261071+100*10 im Firstbereich</t>
  </si>
  <si>
    <t>261071+100*10 auf ganzer Länge</t>
  </si>
  <si>
    <t>261072+100*10 im Firstbereich</t>
  </si>
  <si>
    <t>261072+100*10 auf ganzer Länge</t>
  </si>
  <si>
    <t>Satteldach unisoliert, ohne Firstpfette, ohne Zuganker</t>
  </si>
  <si>
    <t>Berechnungsgrundlage: Skribt "Schulung am 28.11.2012 bei TS-Aluminium in Großefehn", Autor Herr Meier-Hedde</t>
  </si>
  <si>
    <t>Nachweis Rinne: vereinfachte, überschlägliche Bemessung der Durchbiegung</t>
  </si>
  <si>
    <t>8mm VSG</t>
  </si>
  <si>
    <t>1-Feldbalken b</t>
  </si>
  <si>
    <t>2-Feldbalken b + b</t>
  </si>
  <si>
    <t>2-Feldbalken b + 0,75*b</t>
  </si>
  <si>
    <t>2-Feldbalken b + 0,5*b</t>
  </si>
  <si>
    <t>3-Feldbalken b + b + b</t>
  </si>
  <si>
    <t>3-Feldbalken 0,75*b + b + 0,75*b</t>
  </si>
  <si>
    <t>3-Feldbalken 0,5*b + b + 0,5*b</t>
  </si>
  <si>
    <r>
      <t>4a) Erhöhungsfaktor k</t>
    </r>
    <r>
      <rPr>
        <vertAlign val="subscript"/>
        <sz val="10"/>
        <rFont val="Arial"/>
        <family val="2"/>
      </rPr>
      <t>e aufgrund x-Feldbalken</t>
    </r>
  </si>
  <si>
    <r>
      <t>zul. Durchbiegung w</t>
    </r>
    <r>
      <rPr>
        <vertAlign val="subscript"/>
        <sz val="10"/>
        <rFont val="Arial"/>
        <family val="2"/>
      </rPr>
      <t>zul.</t>
    </r>
  </si>
  <si>
    <r>
      <t>3a) Erhöhungsfaktor k</t>
    </r>
    <r>
      <rPr>
        <vertAlign val="subscript"/>
        <sz val="10"/>
        <rFont val="Arial"/>
        <family val="2"/>
      </rPr>
      <t>e aufgrund x-Feldbalken</t>
    </r>
  </si>
  <si>
    <r>
      <t>zul. Durchbiegung w</t>
    </r>
    <r>
      <rPr>
        <b/>
        <vertAlign val="subscript"/>
        <sz val="10"/>
        <rFont val="Arial"/>
        <family val="2"/>
      </rPr>
      <t>zul.</t>
    </r>
  </si>
  <si>
    <r>
      <t>zul. Durchbiegung w</t>
    </r>
    <r>
      <rPr>
        <b/>
        <vertAlign val="subscript"/>
        <sz val="10"/>
        <color indexed="10"/>
        <rFont val="Arial"/>
        <family val="2"/>
      </rPr>
      <t>zul.</t>
    </r>
  </si>
  <si>
    <t>541499</t>
  </si>
  <si>
    <t>541499+120*50*3</t>
  </si>
  <si>
    <t>541499+120*50*5</t>
  </si>
  <si>
    <t>261052</t>
  </si>
  <si>
    <t>261052+80x10</t>
  </si>
  <si>
    <t>5415142</t>
  </si>
  <si>
    <t>5415142+140x15</t>
  </si>
  <si>
    <t>5415142+70x30x3</t>
  </si>
  <si>
    <t>5415142+Z-Profil</t>
  </si>
  <si>
    <t>5415152+140x15</t>
  </si>
  <si>
    <t>5415152+70x30x3</t>
  </si>
  <si>
    <t>5415152+Z-Profil</t>
  </si>
  <si>
    <t>5415152</t>
  </si>
  <si>
    <t>261052+80*10 auf ganzer Länge</t>
  </si>
  <si>
    <t>261052+80*10 im Firstbereich</t>
  </si>
  <si>
    <t>5415142+140*15 auf ganzer Länge</t>
  </si>
  <si>
    <t>5415142+140*15 im Firstbereich</t>
  </si>
  <si>
    <t>543002</t>
  </si>
  <si>
    <t>543003</t>
  </si>
  <si>
    <t>543003+70x30x3</t>
  </si>
  <si>
    <t>543002+70x30x3</t>
  </si>
  <si>
    <t>543002+70*30*3  im Firstbereich</t>
  </si>
  <si>
    <t>543002+70*30*3  im Firstbereich + 62*22 im First</t>
  </si>
  <si>
    <t>543002+70*30*3  auf ganzer Länge</t>
  </si>
  <si>
    <t>543002+70*30*3  auf ganzer Länge + 62*22 im First</t>
  </si>
  <si>
    <t>543001</t>
  </si>
  <si>
    <t>543004</t>
  </si>
  <si>
    <t>543004+70x30x3</t>
  </si>
  <si>
    <t>543004+70*30*3  auf ganzer Länge</t>
  </si>
  <si>
    <t>543004+70*30*3  auf ganzer Länge + 62*22 im First</t>
  </si>
  <si>
    <t>543004+70*30*3  im Firstbereich</t>
  </si>
  <si>
    <t>543004+70*30*3  im Firstbereich + 62*22 im First</t>
  </si>
  <si>
    <t>543005</t>
  </si>
  <si>
    <t>579300+100*50*4</t>
  </si>
  <si>
    <t>579300</t>
  </si>
  <si>
    <t>543002+80*10 auf ganzer Länge</t>
  </si>
  <si>
    <t>543002+80*10 im Firstbereich</t>
  </si>
  <si>
    <t>543004+80*10 auf ganzer Länge</t>
  </si>
  <si>
    <t>543004+80*10 im Firstbereich</t>
  </si>
  <si>
    <t>543005+70*30*3  im Firstbereich</t>
  </si>
  <si>
    <t>579500+100*50*6,3</t>
  </si>
  <si>
    <t>579501+100*50*6,3</t>
  </si>
  <si>
    <t>579300+100*50*6,3</t>
  </si>
  <si>
    <t>577275</t>
  </si>
  <si>
    <t>577275+140*40*3</t>
  </si>
  <si>
    <t>577275+140*40*5</t>
  </si>
  <si>
    <t>545445</t>
  </si>
  <si>
    <t>545445+120x50x3</t>
  </si>
  <si>
    <t>545445+120x50x5</t>
  </si>
  <si>
    <t>545445+I120</t>
  </si>
  <si>
    <t>545445+I120+2*100*10</t>
  </si>
  <si>
    <t>541492+160*80*4</t>
  </si>
  <si>
    <t>577105</t>
  </si>
  <si>
    <t>577105+120*50*3</t>
  </si>
  <si>
    <t>577105+120*50*5</t>
  </si>
  <si>
    <t>577105+I120</t>
  </si>
  <si>
    <t>Dach an der Giebelseite</t>
  </si>
  <si>
    <t>Dach an der Traufseite</t>
  </si>
  <si>
    <t>Dach an ein Flachdach</t>
  </si>
  <si>
    <t>Anbausituation</t>
  </si>
  <si>
    <t>577297/8</t>
  </si>
  <si>
    <t>577297/8 + 30x30x2</t>
  </si>
  <si>
    <t>577291/2</t>
  </si>
  <si>
    <t>577293/4</t>
  </si>
  <si>
    <t>577293/4 + 70x30x3</t>
  </si>
  <si>
    <t>Höhe des Bauortes</t>
  </si>
  <si>
    <t>Dachneigung des Anbaus</t>
  </si>
  <si>
    <r>
      <t>Tiefe des Anbaus b</t>
    </r>
    <r>
      <rPr>
        <vertAlign val="subscript"/>
        <sz val="10"/>
        <rFont val="Arial"/>
        <family val="2"/>
      </rPr>
      <t>2</t>
    </r>
  </si>
  <si>
    <r>
      <t>rechnerisch b</t>
    </r>
    <r>
      <rPr>
        <vertAlign val="subscript"/>
        <sz val="10"/>
        <rFont val="Arial"/>
        <family val="2"/>
      </rPr>
      <t>S</t>
    </r>
  </si>
  <si>
    <r>
      <t>Schneelast auf dem Boden s</t>
    </r>
    <r>
      <rPr>
        <b/>
        <vertAlign val="subscript"/>
        <sz val="10"/>
        <rFont val="Arial"/>
        <family val="2"/>
      </rPr>
      <t>k</t>
    </r>
  </si>
  <si>
    <r>
      <t>länge Schneekeil L</t>
    </r>
    <r>
      <rPr>
        <vertAlign val="subscript"/>
        <sz val="10"/>
        <rFont val="Arial"/>
        <family val="2"/>
      </rPr>
      <t>s</t>
    </r>
  </si>
  <si>
    <r>
      <t>my</t>
    </r>
    <r>
      <rPr>
        <vertAlign val="subscript"/>
        <sz val="10"/>
        <rFont val="Arial"/>
        <family val="2"/>
      </rPr>
      <t>2</t>
    </r>
  </si>
  <si>
    <r>
      <t>my</t>
    </r>
    <r>
      <rPr>
        <vertAlign val="subscript"/>
        <sz val="10"/>
        <rFont val="Arial"/>
        <family val="2"/>
      </rPr>
      <t>2,1</t>
    </r>
  </si>
  <si>
    <r>
      <t>my</t>
    </r>
    <r>
      <rPr>
        <vertAlign val="subscript"/>
        <sz val="10"/>
        <rFont val="Arial"/>
        <family val="2"/>
      </rPr>
      <t>2,2</t>
    </r>
  </si>
  <si>
    <r>
      <t>my</t>
    </r>
    <r>
      <rPr>
        <vertAlign val="subscript"/>
        <sz val="10"/>
        <rFont val="Arial"/>
        <family val="2"/>
      </rPr>
      <t>2,3</t>
    </r>
  </si>
  <si>
    <r>
      <t>my</t>
    </r>
    <r>
      <rPr>
        <vertAlign val="subscript"/>
        <sz val="10"/>
        <rFont val="Arial"/>
        <family val="2"/>
      </rPr>
      <t>2,4</t>
    </r>
  </si>
  <si>
    <r>
      <t>my</t>
    </r>
    <r>
      <rPr>
        <vertAlign val="subscript"/>
        <sz val="10"/>
        <rFont val="Arial"/>
        <family val="2"/>
      </rPr>
      <t>2,5</t>
    </r>
  </si>
  <si>
    <t>Anbaudach seitlich offen und für Räumung zugänglich</t>
  </si>
  <si>
    <r>
      <t>Grundschneelast auf dem Dach s</t>
    </r>
    <r>
      <rPr>
        <vertAlign val="subscript"/>
        <sz val="10"/>
        <rFont val="Arial"/>
        <family val="2"/>
      </rPr>
      <t>1</t>
    </r>
  </si>
  <si>
    <r>
      <t>Schneelast im Mittel s</t>
    </r>
    <r>
      <rPr>
        <vertAlign val="subscript"/>
        <sz val="10"/>
        <rFont val="Arial"/>
        <family val="2"/>
      </rPr>
      <t>m</t>
    </r>
  </si>
  <si>
    <t>sk</t>
  </si>
  <si>
    <t>Schneelasten auf dem Dach: Normal</t>
  </si>
  <si>
    <t>Schneelasten auf dem Dach: Außergewöhnlich (Norddeutsches Tiefland)</t>
  </si>
  <si>
    <r>
      <t>Grundschneelast auf dem Dach s</t>
    </r>
    <r>
      <rPr>
        <vertAlign val="subscript"/>
        <sz val="10"/>
        <rFont val="Arial"/>
        <family val="2"/>
      </rPr>
      <t>Ad,1</t>
    </r>
  </si>
  <si>
    <r>
      <t>Schneelast oben s</t>
    </r>
    <r>
      <rPr>
        <vertAlign val="subscript"/>
        <sz val="10"/>
        <rFont val="Arial"/>
        <family val="2"/>
      </rPr>
      <t>Ad,o</t>
    </r>
  </si>
  <si>
    <r>
      <t>Schneelast unten s</t>
    </r>
    <r>
      <rPr>
        <vertAlign val="subscript"/>
        <sz val="10"/>
        <rFont val="Arial"/>
        <family val="2"/>
      </rPr>
      <t>Ad,u</t>
    </r>
  </si>
  <si>
    <r>
      <t>Schneelast im Mittel s</t>
    </r>
    <r>
      <rPr>
        <vertAlign val="subscript"/>
        <sz val="10"/>
        <rFont val="Arial"/>
        <family val="2"/>
      </rPr>
      <t>Ad,m</t>
    </r>
  </si>
  <si>
    <r>
      <t>normale Schneelast s</t>
    </r>
    <r>
      <rPr>
        <b/>
        <vertAlign val="subscript"/>
        <sz val="10"/>
        <rFont val="Arial"/>
        <family val="2"/>
      </rPr>
      <t>Da</t>
    </r>
  </si>
  <si>
    <r>
      <t>außergewöhnliche Schneelast s</t>
    </r>
    <r>
      <rPr>
        <b/>
        <vertAlign val="subscript"/>
        <sz val="10"/>
        <rFont val="Arial"/>
        <family val="2"/>
      </rPr>
      <t>a</t>
    </r>
  </si>
  <si>
    <t>Schneefanggitter auf vorh. Gebäude</t>
  </si>
  <si>
    <t>Ermittlung der standortbezogenen Wind- und Schneelast</t>
  </si>
  <si>
    <t>Windlast</t>
  </si>
  <si>
    <r>
      <t>gewählte normale Schneelast s</t>
    </r>
    <r>
      <rPr>
        <b/>
        <vertAlign val="subscript"/>
        <sz val="10"/>
        <rFont val="Arial"/>
        <family val="2"/>
      </rPr>
      <t>Da</t>
    </r>
  </si>
  <si>
    <t>3a</t>
  </si>
  <si>
    <t>579226</t>
  </si>
  <si>
    <t>579226+100*50*4</t>
  </si>
  <si>
    <t>579226+100*50*6,3</t>
  </si>
  <si>
    <t>579227</t>
  </si>
  <si>
    <t>579227+70*50*5</t>
  </si>
  <si>
    <t>577276</t>
  </si>
  <si>
    <t>577276+140*40*3</t>
  </si>
  <si>
    <t>577276+140*40*5</t>
  </si>
  <si>
    <t>Bemessungstabelle: Pos. 2.1 Rinne/Unterzug</t>
  </si>
  <si>
    <t>541516</t>
  </si>
  <si>
    <t>5415140</t>
  </si>
  <si>
    <t>5415140+70x30x3</t>
  </si>
  <si>
    <t>5415140+Z-Profil</t>
  </si>
  <si>
    <t>5415150</t>
  </si>
  <si>
    <t>5415150+70x30x3</t>
  </si>
  <si>
    <t>5415150+Z-Profil</t>
  </si>
  <si>
    <t>579504/5 + 100x20</t>
  </si>
  <si>
    <t>545446</t>
  </si>
  <si>
    <t>l/200, jedoch nicht &gt; 26mm</t>
  </si>
  <si>
    <t>Rinne/Unterzug/Traverse</t>
  </si>
  <si>
    <t>Info</t>
  </si>
  <si>
    <t>545446+90x50x4</t>
  </si>
  <si>
    <t>Grenzwerte der Gebrauchstauglichkeit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</si>
</sst>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#,###&quot; m&quot;"/>
    <numFmt numFmtId="165" formatCode="#,##0.00\ &quot; m&quot;"/>
    <numFmt numFmtId="166" formatCode="#,##0.00&quot; m&quot;"/>
    <numFmt numFmtId="167" formatCode="0.000"/>
    <numFmt numFmtId="168" formatCode="#,##0.000&quot; kN/qm&quot;"/>
    <numFmt numFmtId="169" formatCode="#,##0.0&quot;°&quot;"/>
    <numFmt numFmtId="170" formatCode="#,##0.00_ ;\-#,##0.00\ "/>
    <numFmt numFmtId="171" formatCode="0.0000"/>
    <numFmt numFmtId="172" formatCode="#,##0.00&quot; kN/qm&quot;"/>
    <numFmt numFmtId="173" formatCode="0.00&quot; kN/qm&quot;"/>
    <numFmt numFmtId="174" formatCode="0.00&quot; m&quot;"/>
    <numFmt numFmtId="175" formatCode="#,##0&quot;°&quot;"/>
    <numFmt numFmtId="176" formatCode="0.0&quot; mm&quot;"/>
    <numFmt numFmtId="177" formatCode="0.000&quot; kN/qm&quot;"/>
    <numFmt numFmtId="178" formatCode="0.00&quot; °&quot;"/>
    <numFmt numFmtId="179" formatCode="#,##0\ &quot; Rinne(n)&quot;"/>
    <numFmt numFmtId="180" formatCode="0&quot; mm&quot;"/>
  </numFmts>
  <fonts count="2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u/>
      <sz val="12"/>
      <name val="Arial"/>
      <family val="2"/>
    </font>
    <font>
      <b/>
      <vertAlign val="subscript"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78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66" fontId="1" fillId="0" borderId="0" xfId="0" quotePrefix="1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8" fontId="0" fillId="0" borderId="0" xfId="0" applyNumberFormat="1"/>
    <xf numFmtId="0" fontId="6" fillId="0" borderId="0" xfId="0" applyFont="1" applyAlignment="1">
      <alignment horizontal="right" vertical="center"/>
    </xf>
    <xf numFmtId="0" fontId="6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6" fillId="0" borderId="0" xfId="0" applyFont="1" applyFill="1" applyAlignment="1" applyProtection="1">
      <alignment horizontal="left" vertical="center"/>
    </xf>
    <xf numFmtId="16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2" fontId="6" fillId="0" borderId="0" xfId="0" applyNumberFormat="1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10" fillId="0" borderId="9" xfId="0" applyFont="1" applyBorder="1"/>
    <xf numFmtId="0" fontId="10" fillId="0" borderId="8" xfId="0" applyFont="1" applyBorder="1"/>
    <xf numFmtId="175" fontId="0" fillId="0" borderId="0" xfId="0" applyNumberFormat="1" applyAlignment="1">
      <alignment horizontal="center" vertical="center"/>
    </xf>
    <xf numFmtId="175" fontId="0" fillId="0" borderId="10" xfId="0" applyNumberFormat="1" applyBorder="1" applyAlignment="1">
      <alignment horizontal="center" vertical="center"/>
    </xf>
    <xf numFmtId="175" fontId="0" fillId="0" borderId="8" xfId="0" applyNumberFormat="1" applyBorder="1" applyAlignment="1">
      <alignment horizontal="center" vertical="center"/>
    </xf>
    <xf numFmtId="175" fontId="0" fillId="0" borderId="11" xfId="0" applyNumberFormat="1" applyBorder="1" applyAlignment="1">
      <alignment horizontal="center" vertical="center"/>
    </xf>
    <xf numFmtId="0" fontId="2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" fillId="0" borderId="0" xfId="0" quotePrefix="1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Protection="1">
      <protection hidden="1"/>
    </xf>
    <xf numFmtId="0" fontId="0" fillId="0" borderId="0" xfId="0" applyFill="1" applyAlignment="1" applyProtection="1">
      <alignment horizontal="left"/>
      <protection hidden="1"/>
    </xf>
    <xf numFmtId="172" fontId="1" fillId="0" borderId="0" xfId="0" applyNumberFormat="1" applyFont="1" applyFill="1" applyAlignment="1" applyProtection="1">
      <alignment horizontal="left" vertical="center"/>
      <protection hidden="1"/>
    </xf>
    <xf numFmtId="169" fontId="6" fillId="0" borderId="0" xfId="0" applyNumberFormat="1" applyFont="1" applyFill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0" borderId="2" xfId="0" quotePrefix="1" applyFont="1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74" fontId="0" fillId="0" borderId="12" xfId="0" applyNumberFormat="1" applyFill="1" applyBorder="1" applyAlignment="1" applyProtection="1">
      <alignment horizontal="center" vertical="center"/>
      <protection hidden="1"/>
    </xf>
    <xf numFmtId="174" fontId="0" fillId="0" borderId="13" xfId="0" applyNumberFormat="1" applyFill="1" applyBorder="1" applyAlignment="1" applyProtection="1">
      <alignment horizontal="center" vertical="center"/>
      <protection hidden="1"/>
    </xf>
    <xf numFmtId="174" fontId="0" fillId="0" borderId="14" xfId="0" applyNumberFormat="1" applyFill="1" applyBorder="1" applyAlignment="1" applyProtection="1">
      <alignment horizontal="center" vertical="center"/>
      <protection hidden="1"/>
    </xf>
    <xf numFmtId="174" fontId="0" fillId="0" borderId="15" xfId="0" applyNumberFormat="1" applyFill="1" applyBorder="1" applyAlignment="1" applyProtection="1">
      <alignment horizontal="center" vertical="center"/>
      <protection hidden="1"/>
    </xf>
    <xf numFmtId="174" fontId="0" fillId="0" borderId="16" xfId="0" applyNumberFormat="1" applyFill="1" applyBorder="1" applyAlignment="1" applyProtection="1">
      <alignment horizontal="center" vertical="center"/>
      <protection hidden="1"/>
    </xf>
    <xf numFmtId="174" fontId="0" fillId="0" borderId="17" xfId="0" applyNumberFormat="1" applyFill="1" applyBorder="1" applyAlignment="1" applyProtection="1">
      <alignment horizontal="center" vertical="center"/>
      <protection hidden="1"/>
    </xf>
    <xf numFmtId="174" fontId="0" fillId="0" borderId="18" xfId="0" applyNumberFormat="1" applyFill="1" applyBorder="1" applyAlignment="1" applyProtection="1">
      <alignment horizontal="center" vertical="center"/>
      <protection hidden="1"/>
    </xf>
    <xf numFmtId="174" fontId="0" fillId="0" borderId="19" xfId="0" applyNumberFormat="1" applyFill="1" applyBorder="1" applyAlignment="1" applyProtection="1">
      <alignment horizontal="center" vertical="center"/>
      <protection hidden="1"/>
    </xf>
    <xf numFmtId="174" fontId="0" fillId="0" borderId="20" xfId="0" applyNumberFormat="1" applyFill="1" applyBorder="1" applyAlignment="1" applyProtection="1">
      <alignment horizontal="center" vertical="center"/>
      <protection hidden="1"/>
    </xf>
    <xf numFmtId="174" fontId="0" fillId="0" borderId="21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1" fillId="0" borderId="22" xfId="0" quotePrefix="1" applyFont="1" applyFill="1" applyBorder="1" applyAlignment="1" applyProtection="1">
      <alignment horizontal="center" vertical="center"/>
      <protection hidden="1"/>
    </xf>
    <xf numFmtId="49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quotePrefix="1" applyFont="1" applyFill="1" applyBorder="1" applyAlignment="1" applyProtection="1">
      <alignment horizontal="center" vertical="center"/>
      <protection hidden="1"/>
    </xf>
    <xf numFmtId="174" fontId="0" fillId="0" borderId="0" xfId="0" applyNumberFormat="1" applyFill="1" applyBorder="1" applyAlignment="1" applyProtection="1">
      <alignment horizontal="center" vertical="center"/>
      <protection hidden="1"/>
    </xf>
    <xf numFmtId="174" fontId="0" fillId="0" borderId="23" xfId="0" applyNumberFormat="1" applyFill="1" applyBorder="1" applyAlignment="1" applyProtection="1">
      <alignment horizontal="center" vertical="center"/>
      <protection hidden="1"/>
    </xf>
    <xf numFmtId="174" fontId="0" fillId="0" borderId="24" xfId="0" applyNumberFormat="1" applyFill="1" applyBorder="1" applyAlignment="1" applyProtection="1">
      <alignment horizontal="center" vertical="center"/>
      <protection hidden="1"/>
    </xf>
    <xf numFmtId="174" fontId="0" fillId="0" borderId="25" xfId="0" applyNumberFormat="1" applyFill="1" applyBorder="1" applyAlignment="1" applyProtection="1">
      <alignment horizontal="center" vertical="center"/>
      <protection hidden="1"/>
    </xf>
    <xf numFmtId="174" fontId="0" fillId="0" borderId="6" xfId="0" applyNumberFormat="1" applyFill="1" applyBorder="1" applyAlignment="1" applyProtection="1">
      <alignment horizontal="center" vertical="center"/>
      <protection hidden="1"/>
    </xf>
    <xf numFmtId="174" fontId="0" fillId="0" borderId="7" xfId="0" applyNumberFormat="1" applyFill="1" applyBorder="1" applyAlignment="1" applyProtection="1">
      <alignment horizontal="center" vertical="center"/>
      <protection hidden="1"/>
    </xf>
    <xf numFmtId="174" fontId="0" fillId="0" borderId="0" xfId="0" applyNumberFormat="1" applyFill="1" applyBorder="1" applyAlignment="1" applyProtection="1">
      <alignment vertical="center"/>
      <protection hidden="1"/>
    </xf>
    <xf numFmtId="0" fontId="1" fillId="5" borderId="26" xfId="0" applyFont="1" applyFill="1" applyBorder="1" applyAlignment="1">
      <alignment vertical="center"/>
    </xf>
    <xf numFmtId="0" fontId="1" fillId="5" borderId="26" xfId="0" applyFont="1" applyFill="1" applyBorder="1" applyAlignment="1">
      <alignment horizontal="right" vertical="center"/>
    </xf>
    <xf numFmtId="0" fontId="1" fillId="5" borderId="27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174" fontId="0" fillId="0" borderId="29" xfId="0" applyNumberFormat="1" applyFill="1" applyBorder="1" applyAlignment="1" applyProtection="1">
      <alignment horizontal="center" vertical="center"/>
      <protection hidden="1"/>
    </xf>
    <xf numFmtId="174" fontId="0" fillId="0" borderId="30" xfId="0" applyNumberFormat="1" applyFill="1" applyBorder="1" applyAlignment="1" applyProtection="1">
      <alignment horizontal="center" vertical="center"/>
      <protection hidden="1"/>
    </xf>
    <xf numFmtId="174" fontId="0" fillId="0" borderId="31" xfId="0" applyNumberFormat="1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vertical="center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left" vertical="center"/>
      <protection hidden="1"/>
    </xf>
    <xf numFmtId="0" fontId="1" fillId="0" borderId="22" xfId="0" quotePrefix="1" applyFont="1" applyFill="1" applyBorder="1" applyAlignment="1" applyProtection="1">
      <alignment horizontal="left" vertical="center"/>
      <protection hidden="1"/>
    </xf>
    <xf numFmtId="174" fontId="0" fillId="0" borderId="32" xfId="0" applyNumberFormat="1" applyFill="1" applyBorder="1" applyAlignment="1" applyProtection="1">
      <alignment horizontal="center" vertical="center"/>
      <protection hidden="1"/>
    </xf>
    <xf numFmtId="174" fontId="0" fillId="0" borderId="4" xfId="0" applyNumberFormat="1" applyFill="1" applyBorder="1" applyAlignment="1" applyProtection="1">
      <alignment horizontal="center" vertical="center"/>
      <protection hidden="1"/>
    </xf>
    <xf numFmtId="174" fontId="0" fillId="0" borderId="5" xfId="0" applyNumberFormat="1" applyFill="1" applyBorder="1" applyAlignment="1" applyProtection="1">
      <alignment horizontal="center" vertical="center"/>
      <protection hidden="1"/>
    </xf>
    <xf numFmtId="0" fontId="1" fillId="0" borderId="1" xfId="0" quotePrefix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174" fontId="1" fillId="0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4" fontId="0" fillId="6" borderId="16" xfId="0" applyNumberFormat="1" applyFill="1" applyBorder="1" applyAlignment="1" applyProtection="1">
      <alignment horizontal="center" vertical="center"/>
      <protection hidden="1"/>
    </xf>
    <xf numFmtId="174" fontId="0" fillId="6" borderId="13" xfId="0" applyNumberFormat="1" applyFill="1" applyBorder="1" applyAlignment="1" applyProtection="1">
      <alignment horizontal="center" vertical="center"/>
      <protection hidden="1"/>
    </xf>
    <xf numFmtId="174" fontId="0" fillId="6" borderId="14" xfId="0" applyNumberFormat="1" applyFill="1" applyBorder="1" applyAlignment="1" applyProtection="1">
      <alignment horizontal="center" vertical="center"/>
      <protection hidden="1"/>
    </xf>
    <xf numFmtId="174" fontId="0" fillId="7" borderId="16" xfId="0" applyNumberFormat="1" applyFill="1" applyBorder="1" applyAlignment="1" applyProtection="1">
      <alignment horizontal="center" vertical="center"/>
      <protection hidden="1"/>
    </xf>
    <xf numFmtId="174" fontId="0" fillId="7" borderId="17" xfId="0" applyNumberFormat="1" applyFill="1" applyBorder="1" applyAlignment="1" applyProtection="1">
      <alignment horizontal="center" vertical="center"/>
      <protection hidden="1"/>
    </xf>
    <xf numFmtId="174" fontId="0" fillId="7" borderId="18" xfId="0" applyNumberFormat="1" applyFill="1" applyBorder="1" applyAlignment="1" applyProtection="1">
      <alignment horizontal="center" vertical="center"/>
      <protection hidden="1"/>
    </xf>
    <xf numFmtId="174" fontId="0" fillId="7" borderId="24" xfId="0" applyNumberForma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horizontal="right" vertical="center"/>
    </xf>
    <xf numFmtId="167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5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6" fillId="0" borderId="18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vertical="center"/>
    </xf>
    <xf numFmtId="2" fontId="1" fillId="0" borderId="0" xfId="0" applyNumberFormat="1" applyFont="1" applyBorder="1" applyAlignment="1" applyProtection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171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 applyAlignment="1" applyProtection="1">
      <alignment vertical="center"/>
    </xf>
    <xf numFmtId="167" fontId="6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73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6" fillId="0" borderId="0" xfId="0" quotePrefix="1" applyFont="1" applyFill="1" applyAlignment="1">
      <alignment vertical="center"/>
    </xf>
    <xf numFmtId="166" fontId="6" fillId="0" borderId="0" xfId="0" applyNumberFormat="1" applyFont="1" applyFill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169" fontId="6" fillId="0" borderId="0" xfId="0" applyNumberFormat="1" applyFont="1" applyFill="1" applyAlignment="1">
      <alignment horizontal="right" vertical="center"/>
    </xf>
    <xf numFmtId="0" fontId="1" fillId="0" borderId="0" xfId="0" quotePrefix="1" applyFont="1" applyFill="1" applyAlignment="1">
      <alignment vertical="center"/>
    </xf>
    <xf numFmtId="168" fontId="1" fillId="0" borderId="0" xfId="0" applyNumberFormat="1" applyFont="1" applyFill="1" applyAlignment="1">
      <alignment horizontal="right" vertical="center"/>
    </xf>
    <xf numFmtId="0" fontId="1" fillId="0" borderId="0" xfId="0" quotePrefix="1" applyFont="1" applyFill="1" applyAlignment="1">
      <alignment horizontal="right" vertical="center"/>
    </xf>
    <xf numFmtId="2" fontId="0" fillId="0" borderId="0" xfId="0" applyNumberFormat="1" applyFont="1" applyFill="1" applyBorder="1" applyAlignment="1">
      <alignment vertical="center"/>
    </xf>
    <xf numFmtId="166" fontId="1" fillId="0" borderId="0" xfId="0" applyNumberFormat="1" applyFont="1" applyFill="1" applyAlignment="1" applyProtection="1">
      <alignment horizontal="right" vertical="center"/>
    </xf>
    <xf numFmtId="0" fontId="1" fillId="0" borderId="0" xfId="0" quotePrefix="1" applyFont="1" applyFill="1" applyBorder="1" applyAlignment="1">
      <alignment vertical="center"/>
    </xf>
    <xf numFmtId="166" fontId="1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0" fontId="6" fillId="9" borderId="18" xfId="0" applyFont="1" applyFill="1" applyBorder="1" applyAlignment="1">
      <alignment vertical="center"/>
    </xf>
    <xf numFmtId="166" fontId="1" fillId="9" borderId="18" xfId="0" applyNumberFormat="1" applyFont="1" applyFill="1" applyBorder="1" applyAlignment="1">
      <alignment horizontal="right" vertical="center"/>
    </xf>
    <xf numFmtId="2" fontId="9" fillId="9" borderId="32" xfId="0" applyNumberFormat="1" applyFont="1" applyFill="1" applyBorder="1" applyAlignment="1" applyProtection="1">
      <alignment horizontal="right" vertical="center"/>
    </xf>
    <xf numFmtId="2" fontId="9" fillId="9" borderId="29" xfId="0" applyNumberFormat="1" applyFont="1" applyFill="1" applyBorder="1" applyAlignment="1" applyProtection="1">
      <alignment horizontal="right" vertical="center"/>
    </xf>
    <xf numFmtId="2" fontId="9" fillId="9" borderId="29" xfId="0" applyNumberFormat="1" applyFont="1" applyFill="1" applyBorder="1" applyAlignment="1">
      <alignment horizontal="right" vertical="center"/>
    </xf>
    <xf numFmtId="2" fontId="1" fillId="9" borderId="30" xfId="0" applyNumberFormat="1" applyFont="1" applyFill="1" applyBorder="1" applyAlignment="1">
      <alignment horizontal="right" vertical="center"/>
    </xf>
    <xf numFmtId="0" fontId="1" fillId="9" borderId="18" xfId="0" applyFont="1" applyFill="1" applyBorder="1" applyAlignment="1">
      <alignment vertical="center"/>
    </xf>
    <xf numFmtId="166" fontId="1" fillId="9" borderId="34" xfId="0" applyNumberFormat="1" applyFont="1" applyFill="1" applyBorder="1" applyAlignment="1">
      <alignment vertical="center"/>
    </xf>
    <xf numFmtId="166" fontId="1" fillId="9" borderId="18" xfId="0" applyNumberFormat="1" applyFont="1" applyFill="1" applyBorder="1" applyAlignment="1">
      <alignment vertical="center"/>
    </xf>
    <xf numFmtId="170" fontId="1" fillId="9" borderId="18" xfId="0" applyNumberFormat="1" applyFont="1" applyFill="1" applyBorder="1" applyAlignment="1">
      <alignment vertical="center"/>
    </xf>
    <xf numFmtId="166" fontId="6" fillId="9" borderId="18" xfId="0" applyNumberFormat="1" applyFont="1" applyFill="1" applyBorder="1" applyAlignment="1">
      <alignment vertical="center"/>
    </xf>
    <xf numFmtId="0" fontId="6" fillId="9" borderId="10" xfId="0" applyFont="1" applyFill="1" applyBorder="1" applyAlignment="1">
      <alignment vertical="center"/>
    </xf>
    <xf numFmtId="166" fontId="1" fillId="9" borderId="38" xfId="0" applyNumberFormat="1" applyFont="1" applyFill="1" applyBorder="1" applyAlignment="1">
      <alignment vertical="center"/>
    </xf>
    <xf numFmtId="0" fontId="1" fillId="9" borderId="39" xfId="0" quotePrefix="1" applyFont="1" applyFill="1" applyBorder="1" applyAlignment="1">
      <alignment horizontal="left" vertical="center"/>
    </xf>
    <xf numFmtId="166" fontId="1" fillId="9" borderId="13" xfId="0" applyNumberFormat="1" applyFont="1" applyFill="1" applyBorder="1" applyAlignment="1">
      <alignment vertical="center"/>
    </xf>
    <xf numFmtId="166" fontId="1" fillId="9" borderId="15" xfId="0" applyNumberFormat="1" applyFont="1" applyFill="1" applyBorder="1" applyAlignment="1">
      <alignment vertical="center"/>
    </xf>
    <xf numFmtId="0" fontId="1" fillId="9" borderId="39" xfId="0" applyFont="1" applyFill="1" applyBorder="1" applyAlignment="1">
      <alignment horizontal="left" vertical="center"/>
    </xf>
    <xf numFmtId="166" fontId="1" fillId="9" borderId="17" xfId="0" applyNumberFormat="1" applyFont="1" applyFill="1" applyBorder="1" applyAlignment="1">
      <alignment vertical="center"/>
    </xf>
    <xf numFmtId="0" fontId="0" fillId="9" borderId="39" xfId="0" quotePrefix="1" applyNumberFormat="1" applyFont="1" applyFill="1" applyBorder="1" applyAlignment="1">
      <alignment horizontal="left" vertical="center"/>
    </xf>
    <xf numFmtId="0" fontId="0" fillId="9" borderId="39" xfId="0" applyFont="1" applyFill="1" applyBorder="1" applyAlignment="1">
      <alignment horizontal="left" vertical="center"/>
    </xf>
    <xf numFmtId="0" fontId="0" fillId="9" borderId="39" xfId="0" quotePrefix="1" applyFont="1" applyFill="1" applyBorder="1" applyAlignment="1">
      <alignment horizontal="left" vertical="center"/>
    </xf>
    <xf numFmtId="49" fontId="0" fillId="9" borderId="8" xfId="0" applyNumberFormat="1" applyFont="1" applyFill="1" applyBorder="1" applyAlignment="1">
      <alignment horizontal="left" vertical="center"/>
    </xf>
    <xf numFmtId="2" fontId="6" fillId="9" borderId="29" xfId="0" applyNumberFormat="1" applyFont="1" applyFill="1" applyBorder="1" applyAlignment="1" applyProtection="1">
      <alignment horizontal="right" vertical="center"/>
    </xf>
    <xf numFmtId="0" fontId="8" fillId="10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vertical="center"/>
    </xf>
    <xf numFmtId="166" fontId="8" fillId="10" borderId="0" xfId="0" applyNumberFormat="1" applyFont="1" applyFill="1" applyBorder="1" applyAlignment="1">
      <alignment horizontal="left" vertical="center"/>
    </xf>
    <xf numFmtId="2" fontId="9" fillId="10" borderId="32" xfId="0" applyNumberFormat="1" applyFont="1" applyFill="1" applyBorder="1" applyAlignment="1" applyProtection="1">
      <alignment horizontal="right" vertical="center"/>
    </xf>
    <xf numFmtId="2" fontId="9" fillId="10" borderId="29" xfId="0" applyNumberFormat="1" applyFont="1" applyFill="1" applyBorder="1" applyAlignment="1" applyProtection="1">
      <alignment horizontal="right" vertical="center"/>
    </xf>
    <xf numFmtId="2" fontId="9" fillId="10" borderId="29" xfId="0" applyNumberFormat="1" applyFont="1" applyFill="1" applyBorder="1" applyAlignment="1">
      <alignment horizontal="right" vertical="center"/>
    </xf>
    <xf numFmtId="2" fontId="6" fillId="10" borderId="30" xfId="0" applyNumberFormat="1" applyFont="1" applyFill="1" applyBorder="1" applyAlignment="1">
      <alignment horizontal="right" vertical="center"/>
    </xf>
    <xf numFmtId="0" fontId="1" fillId="10" borderId="7" xfId="0" applyFont="1" applyFill="1" applyBorder="1" applyAlignment="1">
      <alignment vertical="center"/>
    </xf>
    <xf numFmtId="0" fontId="6" fillId="10" borderId="18" xfId="0" applyFont="1" applyFill="1" applyBorder="1" applyAlignment="1">
      <alignment horizontal="center" vertical="center"/>
    </xf>
    <xf numFmtId="173" fontId="1" fillId="10" borderId="18" xfId="0" applyNumberFormat="1" applyFont="1" applyFill="1" applyBorder="1" applyAlignment="1">
      <alignment horizontal="center" vertical="center"/>
    </xf>
    <xf numFmtId="2" fontId="1" fillId="10" borderId="18" xfId="0" applyNumberFormat="1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vertical="center"/>
    </xf>
    <xf numFmtId="166" fontId="1" fillId="10" borderId="18" xfId="0" applyNumberFormat="1" applyFont="1" applyFill="1" applyBorder="1" applyAlignment="1">
      <alignment horizontal="right" vertical="center"/>
    </xf>
    <xf numFmtId="166" fontId="1" fillId="10" borderId="34" xfId="0" applyNumberFormat="1" applyFont="1" applyFill="1" applyBorder="1" applyAlignment="1">
      <alignment vertical="center"/>
    </xf>
    <xf numFmtId="166" fontId="1" fillId="10" borderId="38" xfId="0" applyNumberFormat="1" applyFont="1" applyFill="1" applyBorder="1" applyAlignment="1">
      <alignment vertical="center"/>
    </xf>
    <xf numFmtId="0" fontId="0" fillId="10" borderId="39" xfId="0" quotePrefix="1" applyFont="1" applyFill="1" applyBorder="1" applyAlignment="1">
      <alignment horizontal="left" vertical="center"/>
    </xf>
    <xf numFmtId="166" fontId="1" fillId="10" borderId="13" xfId="0" applyNumberFormat="1" applyFont="1" applyFill="1" applyBorder="1" applyAlignment="1">
      <alignment vertical="center"/>
    </xf>
    <xf numFmtId="166" fontId="1" fillId="10" borderId="18" xfId="0" applyNumberFormat="1" applyFont="1" applyFill="1" applyBorder="1" applyAlignment="1">
      <alignment vertical="center"/>
    </xf>
    <xf numFmtId="166" fontId="1" fillId="10" borderId="15" xfId="0" applyNumberFormat="1" applyFont="1" applyFill="1" applyBorder="1" applyAlignment="1">
      <alignment vertical="center"/>
    </xf>
    <xf numFmtId="0" fontId="0" fillId="10" borderId="39" xfId="0" applyFont="1" applyFill="1" applyBorder="1" applyAlignment="1">
      <alignment horizontal="left" vertical="center"/>
    </xf>
    <xf numFmtId="166" fontId="1" fillId="10" borderId="17" xfId="0" applyNumberFormat="1" applyFont="1" applyFill="1" applyBorder="1" applyAlignment="1">
      <alignment vertical="center"/>
    </xf>
    <xf numFmtId="0" fontId="0" fillId="10" borderId="39" xfId="0" quotePrefix="1" applyFont="1" applyFill="1" applyBorder="1" applyAlignment="1">
      <alignment vertical="center"/>
    </xf>
    <xf numFmtId="49" fontId="0" fillId="10" borderId="39" xfId="0" applyNumberFormat="1" applyFont="1" applyFill="1" applyBorder="1" applyAlignment="1">
      <alignment horizontal="left" vertical="center"/>
    </xf>
    <xf numFmtId="0" fontId="1" fillId="10" borderId="18" xfId="0" applyFont="1" applyFill="1" applyBorder="1" applyAlignment="1">
      <alignment vertical="center"/>
    </xf>
    <xf numFmtId="170" fontId="1" fillId="10" borderId="18" xfId="0" applyNumberFormat="1" applyFont="1" applyFill="1" applyBorder="1" applyAlignment="1">
      <alignment vertical="center"/>
    </xf>
    <xf numFmtId="166" fontId="6" fillId="10" borderId="18" xfId="0" applyNumberFormat="1" applyFont="1" applyFill="1" applyBorder="1" applyAlignment="1">
      <alignment vertical="center"/>
    </xf>
    <xf numFmtId="2" fontId="6" fillId="10" borderId="33" xfId="0" applyNumberFormat="1" applyFont="1" applyFill="1" applyBorder="1" applyAlignment="1" applyProtection="1">
      <alignment horizontal="center" vertical="center"/>
    </xf>
    <xf numFmtId="2" fontId="1" fillId="10" borderId="38" xfId="0" applyNumberFormat="1" applyFont="1" applyFill="1" applyBorder="1" applyAlignment="1" applyProtection="1">
      <alignment horizontal="center" vertical="center"/>
    </xf>
    <xf numFmtId="2" fontId="1" fillId="10" borderId="30" xfId="0" applyNumberFormat="1" applyFont="1" applyFill="1" applyBorder="1" applyAlignment="1">
      <alignment horizontal="right" vertical="center"/>
    </xf>
    <xf numFmtId="2" fontId="6" fillId="10" borderId="29" xfId="0" applyNumberFormat="1" applyFont="1" applyFill="1" applyBorder="1" applyAlignment="1" applyProtection="1">
      <alignment horizontal="right" vertical="center"/>
    </xf>
    <xf numFmtId="0" fontId="8" fillId="11" borderId="0" xfId="0" applyFont="1" applyFill="1" applyBorder="1" applyAlignment="1">
      <alignment vertical="center"/>
    </xf>
    <xf numFmtId="0" fontId="1" fillId="11" borderId="0" xfId="0" applyFont="1" applyFill="1" applyBorder="1" applyAlignment="1">
      <alignment vertical="center"/>
    </xf>
    <xf numFmtId="166" fontId="8" fillId="11" borderId="0" xfId="0" applyNumberFormat="1" applyFont="1" applyFill="1" applyBorder="1" applyAlignment="1">
      <alignment horizontal="left" vertical="center"/>
    </xf>
    <xf numFmtId="2" fontId="0" fillId="11" borderId="18" xfId="0" applyNumberFormat="1" applyFont="1" applyFill="1" applyBorder="1" applyAlignment="1">
      <alignment horizontal="right" vertical="center"/>
    </xf>
    <xf numFmtId="2" fontId="6" fillId="11" borderId="18" xfId="0" applyNumberFormat="1" applyFont="1" applyFill="1" applyBorder="1" applyAlignment="1" applyProtection="1">
      <alignment horizontal="right" vertical="center"/>
    </xf>
    <xf numFmtId="2" fontId="6" fillId="11" borderId="18" xfId="0" applyNumberFormat="1" applyFont="1" applyFill="1" applyBorder="1" applyAlignment="1">
      <alignment horizontal="right" vertical="center"/>
    </xf>
    <xf numFmtId="0" fontId="6" fillId="11" borderId="18" xfId="0" applyFont="1" applyFill="1" applyBorder="1" applyAlignment="1">
      <alignment vertical="center"/>
    </xf>
    <xf numFmtId="0" fontId="1" fillId="11" borderId="18" xfId="0" applyFont="1" applyFill="1" applyBorder="1" applyAlignment="1">
      <alignment vertical="center"/>
    </xf>
    <xf numFmtId="166" fontId="1" fillId="11" borderId="18" xfId="0" applyNumberFormat="1" applyFont="1" applyFill="1" applyBorder="1" applyAlignment="1">
      <alignment horizontal="right" vertical="center"/>
    </xf>
    <xf numFmtId="0" fontId="0" fillId="11" borderId="18" xfId="0" applyFont="1" applyFill="1" applyBorder="1" applyAlignment="1">
      <alignment vertical="center"/>
    </xf>
    <xf numFmtId="170" fontId="6" fillId="11" borderId="18" xfId="0" applyNumberFormat="1" applyFont="1" applyFill="1" applyBorder="1" applyAlignment="1">
      <alignment vertical="center"/>
    </xf>
    <xf numFmtId="166" fontId="6" fillId="11" borderId="18" xfId="0" applyNumberFormat="1" applyFont="1" applyFill="1" applyBorder="1" applyAlignment="1">
      <alignment vertical="center"/>
    </xf>
    <xf numFmtId="0" fontId="6" fillId="11" borderId="9" xfId="0" applyFont="1" applyFill="1" applyBorder="1" applyAlignment="1">
      <alignment vertical="center"/>
    </xf>
    <xf numFmtId="166" fontId="1" fillId="11" borderId="34" xfId="0" applyNumberFormat="1" applyFont="1" applyFill="1" applyBorder="1" applyAlignment="1">
      <alignment vertical="center"/>
    </xf>
    <xf numFmtId="0" fontId="1" fillId="11" borderId="9" xfId="0" quotePrefix="1" applyFont="1" applyFill="1" applyBorder="1" applyAlignment="1">
      <alignment horizontal="left" vertical="center"/>
    </xf>
    <xf numFmtId="166" fontId="1" fillId="11" borderId="13" xfId="0" applyNumberFormat="1" applyFont="1" applyFill="1" applyBorder="1" applyAlignment="1">
      <alignment vertical="center"/>
    </xf>
    <xf numFmtId="166" fontId="1" fillId="11" borderId="15" xfId="0" applyNumberFormat="1" applyFont="1" applyFill="1" applyBorder="1" applyAlignment="1">
      <alignment vertical="center"/>
    </xf>
    <xf numFmtId="166" fontId="1" fillId="11" borderId="23" xfId="0" applyNumberFormat="1" applyFont="1" applyFill="1" applyBorder="1" applyAlignment="1">
      <alignment vertical="center"/>
    </xf>
    <xf numFmtId="0" fontId="1" fillId="11" borderId="39" xfId="0" applyFont="1" applyFill="1" applyBorder="1" applyAlignment="1">
      <alignment horizontal="left" vertical="center"/>
    </xf>
    <xf numFmtId="166" fontId="1" fillId="11" borderId="17" xfId="0" applyNumberFormat="1" applyFont="1" applyFill="1" applyBorder="1" applyAlignment="1">
      <alignment vertical="center"/>
    </xf>
    <xf numFmtId="166" fontId="1" fillId="11" borderId="18" xfId="0" applyNumberFormat="1" applyFont="1" applyFill="1" applyBorder="1" applyAlignment="1">
      <alignment vertical="center"/>
    </xf>
    <xf numFmtId="166" fontId="1" fillId="11" borderId="24" xfId="0" applyNumberFormat="1" applyFont="1" applyFill="1" applyBorder="1" applyAlignment="1">
      <alignment vertical="center"/>
    </xf>
    <xf numFmtId="0" fontId="6" fillId="11" borderId="8" xfId="0" applyFont="1" applyFill="1" applyBorder="1" applyAlignment="1">
      <alignment horizontal="left" vertical="center"/>
    </xf>
    <xf numFmtId="166" fontId="1" fillId="11" borderId="25" xfId="0" applyNumberFormat="1" applyFont="1" applyFill="1" applyBorder="1" applyAlignment="1">
      <alignment vertical="center"/>
    </xf>
    <xf numFmtId="166" fontId="1" fillId="11" borderId="20" xfId="0" applyNumberFormat="1" applyFont="1" applyFill="1" applyBorder="1" applyAlignment="1">
      <alignment vertical="center"/>
    </xf>
    <xf numFmtId="166" fontId="1" fillId="11" borderId="6" xfId="0" applyNumberFormat="1" applyFont="1" applyFill="1" applyBorder="1" applyAlignment="1">
      <alignment vertical="center"/>
    </xf>
    <xf numFmtId="166" fontId="1" fillId="11" borderId="7" xfId="0" applyNumberFormat="1" applyFont="1" applyFill="1" applyBorder="1" applyAlignment="1">
      <alignment vertical="center"/>
    </xf>
    <xf numFmtId="2" fontId="6" fillId="11" borderId="29" xfId="0" applyNumberFormat="1" applyFont="1" applyFill="1" applyBorder="1" applyAlignment="1" applyProtection="1">
      <alignment horizontal="right" vertical="center"/>
    </xf>
    <xf numFmtId="2" fontId="6" fillId="12" borderId="15" xfId="0" applyNumberFormat="1" applyFont="1" applyFill="1" applyBorder="1" applyAlignment="1">
      <alignment horizontal="right" vertical="center"/>
    </xf>
    <xf numFmtId="2" fontId="6" fillId="12" borderId="18" xfId="0" applyNumberFormat="1" applyFont="1" applyFill="1" applyBorder="1" applyAlignment="1" applyProtection="1">
      <alignment horizontal="right" vertical="center"/>
    </xf>
    <xf numFmtId="2" fontId="6" fillId="12" borderId="18" xfId="0" applyNumberFormat="1" applyFont="1" applyFill="1" applyBorder="1" applyAlignment="1">
      <alignment horizontal="right" vertical="center"/>
    </xf>
    <xf numFmtId="0" fontId="1" fillId="12" borderId="18" xfId="0" applyFont="1" applyFill="1" applyBorder="1" applyAlignment="1">
      <alignment vertical="center"/>
    </xf>
    <xf numFmtId="0" fontId="6" fillId="12" borderId="18" xfId="0" applyFont="1" applyFill="1" applyBorder="1" applyAlignment="1">
      <alignment vertical="center"/>
    </xf>
    <xf numFmtId="166" fontId="1" fillId="12" borderId="18" xfId="0" applyNumberFormat="1" applyFont="1" applyFill="1" applyBorder="1" applyAlignment="1">
      <alignment horizontal="right" vertical="center"/>
    </xf>
    <xf numFmtId="0" fontId="0" fillId="12" borderId="16" xfId="0" quotePrefix="1" applyFont="1" applyFill="1" applyBorder="1" applyAlignment="1">
      <alignment horizontal="left" vertical="center"/>
    </xf>
    <xf numFmtId="0" fontId="1" fillId="12" borderId="28" xfId="0" applyFont="1" applyFill="1" applyBorder="1" applyAlignment="1">
      <alignment vertical="center"/>
    </xf>
    <xf numFmtId="0" fontId="0" fillId="12" borderId="16" xfId="0" applyFont="1" applyFill="1" applyBorder="1" applyAlignment="1">
      <alignment vertical="center"/>
    </xf>
    <xf numFmtId="166" fontId="1" fillId="12" borderId="18" xfId="0" applyNumberFormat="1" applyFont="1" applyFill="1" applyBorder="1" applyAlignment="1">
      <alignment vertical="center"/>
    </xf>
    <xf numFmtId="0" fontId="0" fillId="12" borderId="16" xfId="0" applyFont="1" applyFill="1" applyBorder="1" applyAlignment="1">
      <alignment horizontal="left" vertical="center"/>
    </xf>
    <xf numFmtId="0" fontId="1" fillId="12" borderId="16" xfId="0" applyFont="1" applyFill="1" applyBorder="1" applyAlignment="1">
      <alignment vertical="center"/>
    </xf>
    <xf numFmtId="166" fontId="1" fillId="12" borderId="17" xfId="0" applyNumberFormat="1" applyFont="1" applyFill="1" applyBorder="1" applyAlignment="1">
      <alignment vertical="center"/>
    </xf>
    <xf numFmtId="0" fontId="1" fillId="12" borderId="16" xfId="0" applyFont="1" applyFill="1" applyBorder="1" applyAlignment="1">
      <alignment horizontal="left" vertical="center"/>
    </xf>
    <xf numFmtId="166" fontId="1" fillId="12" borderId="25" xfId="0" applyNumberFormat="1" applyFont="1" applyFill="1" applyBorder="1" applyAlignment="1">
      <alignment vertical="center"/>
    </xf>
    <xf numFmtId="170" fontId="1" fillId="12" borderId="18" xfId="0" applyNumberFormat="1" applyFont="1" applyFill="1" applyBorder="1" applyAlignment="1">
      <alignment vertical="center"/>
    </xf>
    <xf numFmtId="166" fontId="6" fillId="12" borderId="18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10" borderId="40" xfId="0" applyFont="1" applyFill="1" applyBorder="1" applyAlignment="1">
      <alignment vertical="center"/>
    </xf>
    <xf numFmtId="0" fontId="1" fillId="10" borderId="26" xfId="0" applyFont="1" applyFill="1" applyBorder="1" applyAlignment="1">
      <alignment vertical="center"/>
    </xf>
    <xf numFmtId="0" fontId="1" fillId="10" borderId="26" xfId="0" applyFont="1" applyFill="1" applyBorder="1" applyAlignment="1">
      <alignment horizontal="right" vertical="center"/>
    </xf>
    <xf numFmtId="0" fontId="1" fillId="10" borderId="27" xfId="0" applyFont="1" applyFill="1" applyBorder="1" applyAlignment="1">
      <alignment vertical="center"/>
    </xf>
    <xf numFmtId="0" fontId="1" fillId="10" borderId="0" xfId="0" quotePrefix="1" applyFont="1" applyFill="1" applyBorder="1" applyAlignment="1">
      <alignment vertical="center"/>
    </xf>
    <xf numFmtId="0" fontId="1" fillId="10" borderId="28" xfId="0" applyFont="1" applyFill="1" applyBorder="1" applyAlignment="1">
      <alignment vertical="center"/>
    </xf>
    <xf numFmtId="0" fontId="6" fillId="10" borderId="0" xfId="0" quotePrefix="1" applyFont="1" applyFill="1" applyBorder="1" applyAlignment="1">
      <alignment vertical="center"/>
    </xf>
    <xf numFmtId="0" fontId="11" fillId="10" borderId="28" xfId="0" applyFont="1" applyFill="1" applyBorder="1" applyAlignment="1">
      <alignment vertical="center"/>
    </xf>
    <xf numFmtId="166" fontId="20" fillId="10" borderId="36" xfId="0" applyNumberFormat="1" applyFont="1" applyFill="1" applyBorder="1" applyAlignment="1">
      <alignment horizontal="right" vertical="center"/>
    </xf>
    <xf numFmtId="0" fontId="20" fillId="10" borderId="37" xfId="0" quotePrefix="1" applyFont="1" applyFill="1" applyBorder="1" applyAlignment="1">
      <alignment vertical="center"/>
    </xf>
    <xf numFmtId="0" fontId="1" fillId="10" borderId="21" xfId="0" applyFont="1" applyFill="1" applyBorder="1" applyAlignment="1">
      <alignment vertical="center"/>
    </xf>
    <xf numFmtId="0" fontId="2" fillId="11" borderId="40" xfId="0" applyFont="1" applyFill="1" applyBorder="1" applyAlignment="1">
      <alignment vertical="center"/>
    </xf>
    <xf numFmtId="0" fontId="1" fillId="11" borderId="26" xfId="0" applyFont="1" applyFill="1" applyBorder="1" applyAlignment="1">
      <alignment vertical="center"/>
    </xf>
    <xf numFmtId="0" fontId="1" fillId="11" borderId="26" xfId="0" applyFont="1" applyFill="1" applyBorder="1" applyAlignment="1">
      <alignment horizontal="right" vertical="center"/>
    </xf>
    <xf numFmtId="0" fontId="1" fillId="11" borderId="27" xfId="0" applyFont="1" applyFill="1" applyBorder="1" applyAlignment="1">
      <alignment vertical="center"/>
    </xf>
    <xf numFmtId="0" fontId="6" fillId="11" borderId="0" xfId="0" quotePrefix="1" applyFont="1" applyFill="1" applyBorder="1" applyAlignment="1">
      <alignment vertical="center"/>
    </xf>
    <xf numFmtId="0" fontId="1" fillId="11" borderId="28" xfId="0" applyFont="1" applyFill="1" applyBorder="1" applyAlignment="1">
      <alignment vertical="center"/>
    </xf>
    <xf numFmtId="0" fontId="1" fillId="11" borderId="0" xfId="0" quotePrefix="1" applyFont="1" applyFill="1" applyBorder="1" applyAlignment="1">
      <alignment vertical="center"/>
    </xf>
    <xf numFmtId="0" fontId="1" fillId="11" borderId="21" xfId="0" applyFont="1" applyFill="1" applyBorder="1" applyAlignment="1">
      <alignment vertical="center"/>
    </xf>
    <xf numFmtId="0" fontId="2" fillId="12" borderId="40" xfId="0" applyFont="1" applyFill="1" applyBorder="1" applyAlignment="1">
      <alignment vertical="center"/>
    </xf>
    <xf numFmtId="0" fontId="1" fillId="12" borderId="26" xfId="0" applyFont="1" applyFill="1" applyBorder="1" applyAlignment="1">
      <alignment vertical="center"/>
    </xf>
    <xf numFmtId="0" fontId="1" fillId="12" borderId="26" xfId="0" applyFont="1" applyFill="1" applyBorder="1" applyAlignment="1">
      <alignment horizontal="right" vertical="center"/>
    </xf>
    <xf numFmtId="0" fontId="1" fillId="12" borderId="27" xfId="0" applyFont="1" applyFill="1" applyBorder="1" applyAlignment="1">
      <alignment vertical="center"/>
    </xf>
    <xf numFmtId="0" fontId="1" fillId="12" borderId="0" xfId="0" quotePrefix="1" applyFont="1" applyFill="1" applyBorder="1" applyAlignment="1">
      <alignment vertical="center"/>
    </xf>
    <xf numFmtId="0" fontId="6" fillId="12" borderId="0" xfId="0" quotePrefix="1" applyFont="1" applyFill="1" applyBorder="1" applyAlignment="1">
      <alignment vertical="center"/>
    </xf>
    <xf numFmtId="166" fontId="8" fillId="12" borderId="28" xfId="0" applyNumberFormat="1" applyFont="1" applyFill="1" applyBorder="1" applyAlignment="1">
      <alignment vertical="center"/>
    </xf>
    <xf numFmtId="0" fontId="1" fillId="10" borderId="41" xfId="0" applyFont="1" applyFill="1" applyBorder="1" applyAlignment="1">
      <alignment horizontal="right" vertical="center"/>
    </xf>
    <xf numFmtId="0" fontId="6" fillId="10" borderId="41" xfId="0" applyFont="1" applyFill="1" applyBorder="1" applyAlignment="1">
      <alignment horizontal="right" vertical="center"/>
    </xf>
    <xf numFmtId="166" fontId="8" fillId="10" borderId="41" xfId="0" applyNumberFormat="1" applyFont="1" applyFill="1" applyBorder="1" applyAlignment="1">
      <alignment horizontal="right" vertical="center"/>
    </xf>
    <xf numFmtId="168" fontId="1" fillId="10" borderId="0" xfId="0" applyNumberFormat="1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169" fontId="6" fillId="10" borderId="0" xfId="0" applyNumberFormat="1" applyFont="1" applyFill="1" applyBorder="1" applyAlignment="1">
      <alignment horizontal="left" vertical="center"/>
    </xf>
    <xf numFmtId="166" fontId="6" fillId="10" borderId="0" xfId="0" applyNumberFormat="1" applyFont="1" applyFill="1" applyBorder="1" applyAlignment="1">
      <alignment horizontal="left" vertical="center"/>
    </xf>
    <xf numFmtId="0" fontId="8" fillId="10" borderId="0" xfId="0" applyFont="1" applyFill="1" applyBorder="1" applyAlignment="1">
      <alignment horizontal="left" vertical="center"/>
    </xf>
    <xf numFmtId="0" fontId="6" fillId="11" borderId="41" xfId="0" applyFont="1" applyFill="1" applyBorder="1" applyAlignment="1">
      <alignment horizontal="right" vertical="center"/>
    </xf>
    <xf numFmtId="0" fontId="1" fillId="11" borderId="41" xfId="0" applyFont="1" applyFill="1" applyBorder="1" applyAlignment="1">
      <alignment horizontal="right" vertical="center"/>
    </xf>
    <xf numFmtId="166" fontId="8" fillId="11" borderId="4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Border="1" applyAlignment="1" applyProtection="1">
      <alignment horizontal="left" vertical="center"/>
      <protection locked="0"/>
    </xf>
    <xf numFmtId="0" fontId="8" fillId="11" borderId="0" xfId="0" applyFont="1" applyFill="1" applyBorder="1" applyAlignment="1">
      <alignment horizontal="left" vertical="center"/>
    </xf>
    <xf numFmtId="0" fontId="1" fillId="12" borderId="41" xfId="0" applyFont="1" applyFill="1" applyBorder="1" applyAlignment="1">
      <alignment horizontal="right" vertical="center"/>
    </xf>
    <xf numFmtId="0" fontId="6" fillId="12" borderId="41" xfId="0" applyFont="1" applyFill="1" applyBorder="1" applyAlignment="1">
      <alignment horizontal="right" vertical="center"/>
    </xf>
    <xf numFmtId="165" fontId="1" fillId="12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169" fontId="6" fillId="2" borderId="0" xfId="0" applyNumberFormat="1" applyFont="1" applyFill="1" applyAlignment="1" applyProtection="1">
      <alignment horizontal="left" vertical="center"/>
      <protection locked="0"/>
    </xf>
    <xf numFmtId="166" fontId="6" fillId="2" borderId="0" xfId="0" applyNumberFormat="1" applyFont="1" applyFill="1" applyAlignment="1" applyProtection="1">
      <alignment horizontal="left" vertical="center"/>
      <protection locked="0"/>
    </xf>
    <xf numFmtId="169" fontId="6" fillId="13" borderId="0" xfId="0" applyNumberFormat="1" applyFont="1" applyFill="1" applyAlignment="1" applyProtection="1">
      <alignment horizontal="left" vertical="center"/>
      <protection locked="0"/>
    </xf>
    <xf numFmtId="1" fontId="6" fillId="0" borderId="0" xfId="0" applyNumberFormat="1" applyFont="1"/>
    <xf numFmtId="0" fontId="6" fillId="0" borderId="0" xfId="0" applyFont="1"/>
    <xf numFmtId="0" fontId="2" fillId="14" borderId="40" xfId="0" applyFont="1" applyFill="1" applyBorder="1" applyAlignment="1">
      <alignment vertical="center"/>
    </xf>
    <xf numFmtId="0" fontId="1" fillId="14" borderId="26" xfId="0" applyFont="1" applyFill="1" applyBorder="1" applyAlignment="1">
      <alignment vertical="center"/>
    </xf>
    <xf numFmtId="0" fontId="1" fillId="14" borderId="26" xfId="0" applyFont="1" applyFill="1" applyBorder="1" applyAlignment="1">
      <alignment horizontal="right" vertical="center"/>
    </xf>
    <xf numFmtId="0" fontId="1" fillId="14" borderId="27" xfId="0" applyFont="1" applyFill="1" applyBorder="1" applyAlignment="1">
      <alignment vertical="center"/>
    </xf>
    <xf numFmtId="0" fontId="1" fillId="14" borderId="41" xfId="0" applyFont="1" applyFill="1" applyBorder="1" applyAlignment="1">
      <alignment horizontal="right" vertical="center"/>
    </xf>
    <xf numFmtId="0" fontId="1" fillId="14" borderId="0" xfId="0" quotePrefix="1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166" fontId="8" fillId="14" borderId="41" xfId="0" applyNumberFormat="1" applyFont="1" applyFill="1" applyBorder="1" applyAlignment="1">
      <alignment horizontal="right" vertical="center"/>
    </xf>
    <xf numFmtId="0" fontId="8" fillId="14" borderId="0" xfId="0" applyFont="1" applyFill="1" applyBorder="1" applyAlignment="1">
      <alignment vertical="center"/>
    </xf>
    <xf numFmtId="166" fontId="8" fillId="14" borderId="0" xfId="0" applyNumberFormat="1" applyFont="1" applyFill="1" applyBorder="1" applyAlignment="1">
      <alignment horizontal="left" vertical="center"/>
    </xf>
    <xf numFmtId="166" fontId="8" fillId="14" borderId="0" xfId="0" applyNumberFormat="1" applyFont="1" applyFill="1" applyBorder="1" applyAlignment="1">
      <alignment vertical="center"/>
    </xf>
    <xf numFmtId="166" fontId="8" fillId="14" borderId="28" xfId="0" applyNumberFormat="1" applyFont="1" applyFill="1" applyBorder="1" applyAlignment="1">
      <alignment vertical="center"/>
    </xf>
    <xf numFmtId="166" fontId="8" fillId="14" borderId="36" xfId="0" applyNumberFormat="1" applyFont="1" applyFill="1" applyBorder="1" applyAlignment="1">
      <alignment horizontal="right" vertical="center"/>
    </xf>
    <xf numFmtId="166" fontId="8" fillId="14" borderId="37" xfId="0" applyNumberFormat="1" applyFont="1" applyFill="1" applyBorder="1" applyAlignment="1">
      <alignment vertical="center"/>
    </xf>
    <xf numFmtId="166" fontId="8" fillId="14" borderId="21" xfId="0" applyNumberFormat="1" applyFont="1" applyFill="1" applyBorder="1" applyAlignment="1">
      <alignment vertical="center"/>
    </xf>
    <xf numFmtId="0" fontId="6" fillId="8" borderId="0" xfId="0" applyFont="1" applyFill="1"/>
    <xf numFmtId="0" fontId="0" fillId="8" borderId="0" xfId="0" applyFill="1"/>
    <xf numFmtId="0" fontId="0" fillId="8" borderId="18" xfId="0" applyFill="1" applyBorder="1"/>
    <xf numFmtId="0" fontId="0" fillId="8" borderId="18" xfId="0" applyFill="1" applyBorder="1" applyAlignment="1">
      <alignment horizontal="left"/>
    </xf>
    <xf numFmtId="0" fontId="6" fillId="15" borderId="0" xfId="0" applyFont="1" applyFill="1"/>
    <xf numFmtId="0" fontId="0" fillId="15" borderId="0" xfId="0" applyFill="1"/>
    <xf numFmtId="0" fontId="0" fillId="15" borderId="18" xfId="0" applyFill="1" applyBorder="1"/>
    <xf numFmtId="0" fontId="0" fillId="15" borderId="18" xfId="0" applyFill="1" applyBorder="1" applyAlignment="1">
      <alignment horizontal="left"/>
    </xf>
    <xf numFmtId="167" fontId="1" fillId="0" borderId="0" xfId="0" applyNumberFormat="1" applyFont="1" applyBorder="1" applyAlignment="1">
      <alignment vertical="center"/>
    </xf>
    <xf numFmtId="2" fontId="1" fillId="0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vertical="center"/>
    </xf>
    <xf numFmtId="0" fontId="1" fillId="10" borderId="9" xfId="0" applyFont="1" applyFill="1" applyBorder="1" applyAlignment="1">
      <alignment vertical="center"/>
    </xf>
    <xf numFmtId="0" fontId="0" fillId="10" borderId="8" xfId="0" applyFont="1" applyFill="1" applyBorder="1" applyAlignment="1">
      <alignment vertical="center"/>
    </xf>
    <xf numFmtId="0" fontId="0" fillId="10" borderId="18" xfId="0" applyFont="1" applyFill="1" applyBorder="1" applyAlignment="1">
      <alignment vertical="center"/>
    </xf>
    <xf numFmtId="166" fontId="20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2" fontId="6" fillId="10" borderId="31" xfId="0" applyNumberFormat="1" applyFont="1" applyFill="1" applyBorder="1" applyAlignment="1" applyProtection="1">
      <alignment horizontal="right" vertical="center"/>
    </xf>
    <xf numFmtId="2" fontId="6" fillId="10" borderId="29" xfId="0" applyNumberFormat="1" applyFont="1" applyFill="1" applyBorder="1" applyAlignment="1">
      <alignment horizontal="right" vertical="center"/>
    </xf>
    <xf numFmtId="173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6" fillId="16" borderId="15" xfId="0" applyNumberFormat="1" applyFont="1" applyFill="1" applyBorder="1" applyAlignment="1" applyProtection="1">
      <alignment horizontal="right" vertical="center"/>
    </xf>
    <xf numFmtId="2" fontId="6" fillId="16" borderId="18" xfId="0" applyNumberFormat="1" applyFont="1" applyFill="1" applyBorder="1" applyAlignment="1" applyProtection="1">
      <alignment horizontal="right" vertical="center"/>
    </xf>
    <xf numFmtId="2" fontId="6" fillId="16" borderId="18" xfId="0" applyNumberFormat="1" applyFont="1" applyFill="1" applyBorder="1" applyAlignment="1">
      <alignment horizontal="right" vertical="center"/>
    </xf>
    <xf numFmtId="0" fontId="1" fillId="16" borderId="18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166" fontId="1" fillId="16" borderId="34" xfId="0" applyNumberFormat="1" applyFont="1" applyFill="1" applyBorder="1" applyAlignment="1">
      <alignment vertical="center"/>
    </xf>
    <xf numFmtId="166" fontId="1" fillId="16" borderId="38" xfId="0" applyNumberFormat="1" applyFont="1" applyFill="1" applyBorder="1" applyAlignment="1">
      <alignment vertical="center"/>
    </xf>
    <xf numFmtId="0" fontId="1" fillId="16" borderId="9" xfId="0" quotePrefix="1" applyFont="1" applyFill="1" applyBorder="1" applyAlignment="1">
      <alignment horizontal="left" vertical="center"/>
    </xf>
    <xf numFmtId="166" fontId="1" fillId="16" borderId="13" xfId="0" applyNumberFormat="1" applyFont="1" applyFill="1" applyBorder="1" applyAlignment="1">
      <alignment vertical="center"/>
    </xf>
    <xf numFmtId="166" fontId="1" fillId="16" borderId="18" xfId="0" applyNumberFormat="1" applyFont="1" applyFill="1" applyBorder="1" applyAlignment="1">
      <alignment vertical="center"/>
    </xf>
    <xf numFmtId="0" fontId="1" fillId="16" borderId="39" xfId="0" quotePrefix="1" applyFont="1" applyFill="1" applyBorder="1" applyAlignment="1">
      <alignment horizontal="left" vertical="center"/>
    </xf>
    <xf numFmtId="0" fontId="0" fillId="16" borderId="39" xfId="0" quotePrefix="1" applyFont="1" applyFill="1" applyBorder="1" applyAlignment="1">
      <alignment horizontal="left" vertical="center"/>
    </xf>
    <xf numFmtId="0" fontId="0" fillId="16" borderId="39" xfId="0" applyFont="1" applyFill="1" applyBorder="1" applyAlignment="1">
      <alignment horizontal="left" vertical="center"/>
    </xf>
    <xf numFmtId="0" fontId="6" fillId="16" borderId="39" xfId="0" quotePrefix="1" applyFont="1" applyFill="1" applyBorder="1" applyAlignment="1">
      <alignment horizontal="left" vertical="center"/>
    </xf>
    <xf numFmtId="0" fontId="6" fillId="16" borderId="8" xfId="0" applyFont="1" applyFill="1" applyBorder="1" applyAlignment="1">
      <alignment vertical="center"/>
    </xf>
    <xf numFmtId="170" fontId="1" fillId="16" borderId="18" xfId="0" applyNumberFormat="1" applyFont="1" applyFill="1" applyBorder="1" applyAlignment="1">
      <alignment vertical="center"/>
    </xf>
    <xf numFmtId="166" fontId="6" fillId="16" borderId="18" xfId="0" applyNumberFormat="1" applyFont="1" applyFill="1" applyBorder="1" applyAlignment="1">
      <alignment vertical="center"/>
    </xf>
    <xf numFmtId="0" fontId="6" fillId="16" borderId="18" xfId="0" applyFont="1" applyFill="1" applyBorder="1" applyAlignment="1">
      <alignment vertical="center"/>
    </xf>
    <xf numFmtId="166" fontId="1" fillId="16" borderId="18" xfId="0" applyNumberFormat="1" applyFont="1" applyFill="1" applyBorder="1" applyAlignment="1">
      <alignment horizontal="right" vertical="center"/>
    </xf>
    <xf numFmtId="166" fontId="8" fillId="16" borderId="36" xfId="0" applyNumberFormat="1" applyFont="1" applyFill="1" applyBorder="1" applyAlignment="1">
      <alignment horizontal="right" vertical="center"/>
    </xf>
    <xf numFmtId="166" fontId="8" fillId="16" borderId="37" xfId="0" applyNumberFormat="1" applyFont="1" applyFill="1" applyBorder="1" applyAlignment="1">
      <alignment vertical="center"/>
    </xf>
    <xf numFmtId="166" fontId="8" fillId="16" borderId="21" xfId="0" applyNumberFormat="1" applyFont="1" applyFill="1" applyBorder="1" applyAlignment="1">
      <alignment vertical="center"/>
    </xf>
    <xf numFmtId="166" fontId="8" fillId="16" borderId="41" xfId="0" applyNumberFormat="1" applyFont="1" applyFill="1" applyBorder="1" applyAlignment="1">
      <alignment horizontal="right" vertical="center"/>
    </xf>
    <xf numFmtId="0" fontId="8" fillId="16" borderId="0" xfId="0" applyFont="1" applyFill="1" applyBorder="1" applyAlignment="1">
      <alignment vertical="center"/>
    </xf>
    <xf numFmtId="166" fontId="8" fillId="16" borderId="0" xfId="0" applyNumberFormat="1" applyFont="1" applyFill="1" applyBorder="1" applyAlignment="1">
      <alignment horizontal="left" vertical="center"/>
    </xf>
    <xf numFmtId="0" fontId="1" fillId="16" borderId="28" xfId="0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left" vertical="center"/>
    </xf>
    <xf numFmtId="0" fontId="1" fillId="16" borderId="0" xfId="0" applyFont="1" applyFill="1" applyBorder="1" applyAlignment="1">
      <alignment vertical="center"/>
    </xf>
    <xf numFmtId="0" fontId="8" fillId="16" borderId="0" xfId="0" applyFont="1" applyFill="1" applyBorder="1" applyAlignment="1">
      <alignment horizontal="left" vertical="center"/>
    </xf>
    <xf numFmtId="0" fontId="2" fillId="16" borderId="40" xfId="0" applyFont="1" applyFill="1" applyBorder="1" applyAlignment="1">
      <alignment vertical="center"/>
    </xf>
    <xf numFmtId="0" fontId="1" fillId="16" borderId="26" xfId="0" applyFont="1" applyFill="1" applyBorder="1" applyAlignment="1">
      <alignment vertical="center"/>
    </xf>
    <xf numFmtId="0" fontId="1" fillId="16" borderId="26" xfId="0" applyFont="1" applyFill="1" applyBorder="1" applyAlignment="1">
      <alignment horizontal="left" vertical="center"/>
    </xf>
    <xf numFmtId="0" fontId="1" fillId="16" borderId="27" xfId="0" applyFont="1" applyFill="1" applyBorder="1" applyAlignment="1">
      <alignment vertical="center"/>
    </xf>
    <xf numFmtId="0" fontId="1" fillId="16" borderId="41" xfId="0" applyFont="1" applyFill="1" applyBorder="1" applyAlignment="1">
      <alignment horizontal="right" vertical="center"/>
    </xf>
    <xf numFmtId="0" fontId="1" fillId="16" borderId="0" xfId="0" quotePrefix="1" applyFont="1" applyFill="1" applyBorder="1" applyAlignment="1">
      <alignment vertical="center"/>
    </xf>
    <xf numFmtId="0" fontId="1" fillId="16" borderId="41" xfId="0" applyFont="1" applyFill="1" applyBorder="1" applyAlignment="1">
      <alignment vertical="center"/>
    </xf>
    <xf numFmtId="0" fontId="1" fillId="17" borderId="0" xfId="0" applyFont="1" applyFill="1" applyBorder="1" applyAlignment="1">
      <alignment vertical="center"/>
    </xf>
    <xf numFmtId="166" fontId="8" fillId="17" borderId="41" xfId="0" applyNumberFormat="1" applyFont="1" applyFill="1" applyBorder="1" applyAlignment="1">
      <alignment horizontal="right" vertical="center"/>
    </xf>
    <xf numFmtId="0" fontId="8" fillId="17" borderId="0" xfId="0" applyFont="1" applyFill="1" applyBorder="1" applyAlignment="1">
      <alignment vertical="center"/>
    </xf>
    <xf numFmtId="166" fontId="8" fillId="17" borderId="0" xfId="0" applyNumberFormat="1" applyFont="1" applyFill="1" applyBorder="1" applyAlignment="1">
      <alignment horizontal="left" vertical="center"/>
    </xf>
    <xf numFmtId="0" fontId="1" fillId="17" borderId="28" xfId="0" applyFont="1" applyFill="1" applyBorder="1" applyAlignment="1">
      <alignment vertical="center"/>
    </xf>
    <xf numFmtId="0" fontId="2" fillId="17" borderId="40" xfId="0" applyFont="1" applyFill="1" applyBorder="1" applyAlignment="1">
      <alignment horizontal="left" vertical="center"/>
    </xf>
    <xf numFmtId="0" fontId="1" fillId="17" borderId="26" xfId="0" applyFont="1" applyFill="1" applyBorder="1" applyAlignment="1">
      <alignment vertical="center"/>
    </xf>
    <xf numFmtId="0" fontId="1" fillId="17" borderId="26" xfId="0" applyFont="1" applyFill="1" applyBorder="1" applyAlignment="1">
      <alignment horizontal="right" vertical="center"/>
    </xf>
    <xf numFmtId="0" fontId="1" fillId="17" borderId="27" xfId="0" applyFont="1" applyFill="1" applyBorder="1" applyAlignment="1">
      <alignment vertical="center"/>
    </xf>
    <xf numFmtId="0" fontId="6" fillId="17" borderId="41" xfId="0" applyFont="1" applyFill="1" applyBorder="1" applyAlignment="1">
      <alignment horizontal="right" vertical="center"/>
    </xf>
    <xf numFmtId="0" fontId="6" fillId="17" borderId="0" xfId="0" quotePrefix="1" applyFont="1" applyFill="1" applyBorder="1" applyAlignment="1">
      <alignment vertical="center"/>
    </xf>
    <xf numFmtId="0" fontId="1" fillId="17" borderId="41" xfId="0" applyFont="1" applyFill="1" applyBorder="1" applyAlignment="1">
      <alignment horizontal="right" vertical="center"/>
    </xf>
    <xf numFmtId="0" fontId="1" fillId="17" borderId="0" xfId="0" quotePrefix="1" applyFont="1" applyFill="1" applyBorder="1" applyAlignment="1">
      <alignment vertical="center"/>
    </xf>
    <xf numFmtId="0" fontId="8" fillId="17" borderId="41" xfId="0" applyFont="1" applyFill="1" applyBorder="1" applyAlignment="1">
      <alignment horizontal="right" vertical="center"/>
    </xf>
    <xf numFmtId="0" fontId="1" fillId="17" borderId="21" xfId="0" applyFont="1" applyFill="1" applyBorder="1" applyAlignment="1">
      <alignment vertical="center"/>
    </xf>
    <xf numFmtId="2" fontId="0" fillId="17" borderId="15" xfId="0" applyNumberFormat="1" applyFont="1" applyFill="1" applyBorder="1" applyAlignment="1">
      <alignment horizontal="right" vertical="center"/>
    </xf>
    <xf numFmtId="2" fontId="0" fillId="17" borderId="18" xfId="0" applyNumberFormat="1" applyFont="1" applyFill="1" applyBorder="1" applyAlignment="1">
      <alignment horizontal="right" vertical="center"/>
    </xf>
    <xf numFmtId="0" fontId="1" fillId="17" borderId="18" xfId="0" applyFont="1" applyFill="1" applyBorder="1" applyAlignment="1">
      <alignment vertical="center"/>
    </xf>
    <xf numFmtId="166" fontId="1" fillId="17" borderId="18" xfId="0" applyNumberFormat="1" applyFont="1" applyFill="1" applyBorder="1" applyAlignment="1">
      <alignment horizontal="right" vertical="center"/>
    </xf>
    <xf numFmtId="0" fontId="6" fillId="17" borderId="18" xfId="0" applyFont="1" applyFill="1" applyBorder="1" applyAlignment="1">
      <alignment horizontal="center" vertical="center"/>
    </xf>
    <xf numFmtId="173" fontId="1" fillId="17" borderId="18" xfId="0" applyNumberFormat="1" applyFont="1" applyFill="1" applyBorder="1" applyAlignment="1">
      <alignment horizontal="center" vertical="center"/>
    </xf>
    <xf numFmtId="2" fontId="1" fillId="17" borderId="18" xfId="0" applyNumberFormat="1" applyFont="1" applyFill="1" applyBorder="1" applyAlignment="1">
      <alignment horizontal="center" vertical="center"/>
    </xf>
    <xf numFmtId="0" fontId="1" fillId="17" borderId="10" xfId="0" applyFont="1" applyFill="1" applyBorder="1" applyAlignment="1">
      <alignment vertical="center"/>
    </xf>
    <xf numFmtId="166" fontId="1" fillId="17" borderId="34" xfId="0" applyNumberFormat="1" applyFont="1" applyFill="1" applyBorder="1" applyAlignment="1">
      <alignment vertical="center"/>
    </xf>
    <xf numFmtId="0" fontId="1" fillId="17" borderId="9" xfId="0" quotePrefix="1" applyFont="1" applyFill="1" applyBorder="1" applyAlignment="1">
      <alignment horizontal="left" vertical="center"/>
    </xf>
    <xf numFmtId="166" fontId="1" fillId="17" borderId="42" xfId="0" applyNumberFormat="1" applyFont="1" applyFill="1" applyBorder="1" applyAlignment="1">
      <alignment vertical="center"/>
    </xf>
    <xf numFmtId="0" fontId="1" fillId="17" borderId="39" xfId="0" applyFont="1" applyFill="1" applyBorder="1" applyAlignment="1">
      <alignment horizontal="left" vertical="center"/>
    </xf>
    <xf numFmtId="166" fontId="1" fillId="17" borderId="17" xfId="0" applyNumberFormat="1" applyFont="1" applyFill="1" applyBorder="1" applyAlignment="1">
      <alignment vertical="center"/>
    </xf>
    <xf numFmtId="166" fontId="1" fillId="17" borderId="13" xfId="0" applyNumberFormat="1" applyFont="1" applyFill="1" applyBorder="1" applyAlignment="1">
      <alignment vertical="center"/>
    </xf>
    <xf numFmtId="0" fontId="1" fillId="17" borderId="39" xfId="0" quotePrefix="1" applyFont="1" applyFill="1" applyBorder="1" applyAlignment="1">
      <alignment horizontal="left" vertical="center"/>
    </xf>
    <xf numFmtId="0" fontId="1" fillId="17" borderId="39" xfId="0" applyFont="1" applyFill="1" applyBorder="1" applyAlignment="1">
      <alignment vertical="center"/>
    </xf>
    <xf numFmtId="0" fontId="0" fillId="17" borderId="39" xfId="0" applyFont="1" applyFill="1" applyBorder="1" applyAlignment="1">
      <alignment horizontal="left" vertical="center"/>
    </xf>
    <xf numFmtId="166" fontId="1" fillId="17" borderId="43" xfId="0" applyNumberFormat="1" applyFont="1" applyFill="1" applyBorder="1" applyAlignment="1">
      <alignment vertical="center"/>
    </xf>
    <xf numFmtId="166" fontId="1" fillId="17" borderId="44" xfId="0" applyNumberFormat="1" applyFont="1" applyFill="1" applyBorder="1" applyAlignment="1">
      <alignment vertical="center"/>
    </xf>
    <xf numFmtId="0" fontId="1" fillId="17" borderId="16" xfId="0" quotePrefix="1" applyFont="1" applyFill="1" applyBorder="1" applyAlignment="1">
      <alignment horizontal="left" vertical="center"/>
    </xf>
    <xf numFmtId="166" fontId="1" fillId="17" borderId="18" xfId="0" applyNumberFormat="1" applyFont="1" applyFill="1" applyBorder="1" applyAlignment="1">
      <alignment vertical="center"/>
    </xf>
    <xf numFmtId="0" fontId="1" fillId="17" borderId="19" xfId="0" applyFont="1" applyFill="1" applyBorder="1" applyAlignment="1">
      <alignment horizontal="left" vertical="center"/>
    </xf>
    <xf numFmtId="166" fontId="1" fillId="17" borderId="25" xfId="0" applyNumberFormat="1" applyFont="1" applyFill="1" applyBorder="1" applyAlignment="1">
      <alignment vertical="center"/>
    </xf>
    <xf numFmtId="166" fontId="1" fillId="17" borderId="6" xfId="0" applyNumberFormat="1" applyFont="1" applyFill="1" applyBorder="1" applyAlignment="1">
      <alignment vertical="center"/>
    </xf>
    <xf numFmtId="170" fontId="1" fillId="17" borderId="18" xfId="0" applyNumberFormat="1" applyFont="1" applyFill="1" applyBorder="1" applyAlignment="1">
      <alignment vertical="center"/>
    </xf>
    <xf numFmtId="166" fontId="6" fillId="17" borderId="18" xfId="0" applyNumberFormat="1" applyFont="1" applyFill="1" applyBorder="1" applyAlignment="1">
      <alignment vertical="center"/>
    </xf>
    <xf numFmtId="166" fontId="1" fillId="17" borderId="38" xfId="0" applyNumberFormat="1" applyFont="1" applyFill="1" applyBorder="1" applyAlignment="1">
      <alignment vertical="center"/>
    </xf>
    <xf numFmtId="166" fontId="1" fillId="17" borderId="4" xfId="0" applyNumberFormat="1" applyFont="1" applyFill="1" applyBorder="1" applyAlignment="1">
      <alignment vertical="center"/>
    </xf>
    <xf numFmtId="166" fontId="1" fillId="17" borderId="35" xfId="0" applyNumberFormat="1" applyFont="1" applyFill="1" applyBorder="1" applyAlignment="1">
      <alignment vertical="center"/>
    </xf>
    <xf numFmtId="0" fontId="6" fillId="17" borderId="18" xfId="0" applyFont="1" applyFill="1" applyBorder="1" applyAlignment="1">
      <alignment vertical="center"/>
    </xf>
    <xf numFmtId="0" fontId="1" fillId="18" borderId="18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166" fontId="1" fillId="18" borderId="26" xfId="0" applyNumberFormat="1" applyFont="1" applyFill="1" applyBorder="1" applyAlignment="1">
      <alignment vertical="center"/>
    </xf>
    <xf numFmtId="166" fontId="1" fillId="18" borderId="9" xfId="0" applyNumberFormat="1" applyFont="1" applyFill="1" applyBorder="1" applyAlignment="1">
      <alignment horizontal="center" vertical="center"/>
    </xf>
    <xf numFmtId="0" fontId="0" fillId="18" borderId="41" xfId="0" quotePrefix="1" applyFont="1" applyFill="1" applyBorder="1" applyAlignment="1">
      <alignment vertical="center"/>
    </xf>
    <xf numFmtId="166" fontId="1" fillId="18" borderId="32" xfId="0" applyNumberFormat="1" applyFont="1" applyFill="1" applyBorder="1" applyAlignment="1">
      <alignment vertical="center"/>
    </xf>
    <xf numFmtId="166" fontId="1" fillId="18" borderId="4" xfId="0" applyNumberFormat="1" applyFont="1" applyFill="1" applyBorder="1" applyAlignment="1">
      <alignment vertical="center"/>
    </xf>
    <xf numFmtId="166" fontId="1" fillId="18" borderId="5" xfId="0" applyNumberFormat="1" applyFont="1" applyFill="1" applyBorder="1" applyAlignment="1">
      <alignment horizontal="center" vertical="center"/>
    </xf>
    <xf numFmtId="0" fontId="0" fillId="18" borderId="41" xfId="0" applyFont="1" applyFill="1" applyBorder="1" applyAlignment="1">
      <alignment vertical="center"/>
    </xf>
    <xf numFmtId="166" fontId="1" fillId="18" borderId="29" xfId="0" applyNumberFormat="1" applyFont="1" applyFill="1" applyBorder="1" applyAlignment="1">
      <alignment vertical="center"/>
    </xf>
    <xf numFmtId="166" fontId="1" fillId="18" borderId="18" xfId="0" applyNumberFormat="1" applyFont="1" applyFill="1" applyBorder="1" applyAlignment="1">
      <alignment vertical="center"/>
    </xf>
    <xf numFmtId="166" fontId="1" fillId="18" borderId="24" xfId="0" applyNumberFormat="1" applyFont="1" applyFill="1" applyBorder="1" applyAlignment="1">
      <alignment horizontal="center" vertical="center"/>
    </xf>
    <xf numFmtId="0" fontId="0" fillId="18" borderId="36" xfId="0" applyFont="1" applyFill="1" applyBorder="1" applyAlignment="1">
      <alignment vertical="center"/>
    </xf>
    <xf numFmtId="166" fontId="1" fillId="18" borderId="6" xfId="0" applyNumberFormat="1" applyFont="1" applyFill="1" applyBorder="1" applyAlignment="1">
      <alignment vertical="center"/>
    </xf>
    <xf numFmtId="166" fontId="1" fillId="18" borderId="24" xfId="0" applyNumberFormat="1" applyFont="1" applyFill="1" applyBorder="1" applyAlignment="1">
      <alignment vertical="center"/>
    </xf>
    <xf numFmtId="166" fontId="1" fillId="18" borderId="30" xfId="0" applyNumberFormat="1" applyFont="1" applyFill="1" applyBorder="1" applyAlignment="1">
      <alignment vertical="center"/>
    </xf>
    <xf numFmtId="166" fontId="1" fillId="18" borderId="7" xfId="0" applyNumberFormat="1" applyFont="1" applyFill="1" applyBorder="1" applyAlignment="1">
      <alignment vertical="center"/>
    </xf>
    <xf numFmtId="2" fontId="0" fillId="18" borderId="31" xfId="0" applyNumberFormat="1" applyFont="1" applyFill="1" applyBorder="1" applyAlignment="1">
      <alignment horizontal="right" vertical="center"/>
    </xf>
    <xf numFmtId="2" fontId="0" fillId="18" borderId="29" xfId="0" applyNumberFormat="1" applyFont="1" applyFill="1" applyBorder="1" applyAlignment="1">
      <alignment horizontal="right" vertical="center"/>
    </xf>
    <xf numFmtId="2" fontId="0" fillId="18" borderId="41" xfId="0" applyNumberFormat="1" applyFont="1" applyFill="1" applyBorder="1" applyAlignment="1">
      <alignment horizontal="right" vertical="center"/>
    </xf>
    <xf numFmtId="2" fontId="0" fillId="18" borderId="30" xfId="0" applyNumberFormat="1" applyFont="1" applyFill="1" applyBorder="1" applyAlignment="1">
      <alignment horizontal="right" vertical="center"/>
    </xf>
    <xf numFmtId="0" fontId="0" fillId="18" borderId="18" xfId="0" applyFont="1" applyFill="1" applyBorder="1" applyAlignment="1">
      <alignment vertical="center"/>
    </xf>
    <xf numFmtId="170" fontId="1" fillId="18" borderId="18" xfId="0" applyNumberFormat="1" applyFont="1" applyFill="1" applyBorder="1" applyAlignment="1">
      <alignment vertical="center"/>
    </xf>
    <xf numFmtId="166" fontId="6" fillId="18" borderId="18" xfId="0" applyNumberFormat="1" applyFont="1" applyFill="1" applyBorder="1" applyAlignment="1">
      <alignment vertical="center"/>
    </xf>
    <xf numFmtId="0" fontId="6" fillId="18" borderId="18" xfId="0" applyFont="1" applyFill="1" applyBorder="1" applyAlignment="1">
      <alignment vertical="center"/>
    </xf>
    <xf numFmtId="166" fontId="1" fillId="18" borderId="18" xfId="0" applyNumberFormat="1" applyFont="1" applyFill="1" applyBorder="1" applyAlignment="1">
      <alignment horizontal="right" vertical="center"/>
    </xf>
    <xf numFmtId="166" fontId="1" fillId="0" borderId="0" xfId="0" applyNumberFormat="1" applyFont="1" applyFill="1" applyBorder="1" applyAlignment="1">
      <alignment horizontal="right" vertical="center"/>
    </xf>
    <xf numFmtId="170" fontId="1" fillId="0" borderId="0" xfId="0" applyNumberFormat="1" applyFont="1" applyFill="1" applyBorder="1" applyAlignment="1">
      <alignment horizontal="right" vertical="center"/>
    </xf>
    <xf numFmtId="0" fontId="1" fillId="5" borderId="0" xfId="0" quotePrefix="1" applyFont="1" applyFill="1" applyBorder="1" applyAlignment="1">
      <alignment vertical="center"/>
    </xf>
    <xf numFmtId="0" fontId="1" fillId="18" borderId="0" xfId="0" quotePrefix="1" applyFont="1" applyFill="1" applyBorder="1" applyAlignment="1">
      <alignment vertical="center"/>
    </xf>
    <xf numFmtId="0" fontId="8" fillId="18" borderId="0" xfId="0" applyFont="1" applyFill="1" applyBorder="1" applyAlignment="1">
      <alignment vertical="center"/>
    </xf>
    <xf numFmtId="166" fontId="8" fillId="18" borderId="0" xfId="0" applyNumberFormat="1" applyFont="1" applyFill="1" applyBorder="1" applyAlignment="1">
      <alignment horizontal="left" vertical="center"/>
    </xf>
    <xf numFmtId="0" fontId="2" fillId="5" borderId="40" xfId="0" applyFont="1" applyFill="1" applyBorder="1" applyAlignment="1">
      <alignment vertical="center"/>
    </xf>
    <xf numFmtId="0" fontId="6" fillId="5" borderId="0" xfId="0" quotePrefix="1" applyFont="1" applyFill="1" applyBorder="1" applyAlignment="1">
      <alignment vertical="center"/>
    </xf>
    <xf numFmtId="166" fontId="6" fillId="2" borderId="0" xfId="0" applyNumberFormat="1" applyFont="1" applyFill="1" applyBorder="1" applyAlignment="1" applyProtection="1">
      <alignment horizontal="left" vertical="center"/>
      <protection locked="0"/>
    </xf>
    <xf numFmtId="0" fontId="11" fillId="5" borderId="28" xfId="0" applyFont="1" applyFill="1" applyBorder="1" applyAlignment="1">
      <alignment vertical="center"/>
    </xf>
    <xf numFmtId="0" fontId="1" fillId="5" borderId="41" xfId="0" applyFont="1" applyFill="1" applyBorder="1" applyAlignment="1">
      <alignment vertical="center"/>
    </xf>
    <xf numFmtId="0" fontId="1" fillId="18" borderId="41" xfId="0" applyFont="1" applyFill="1" applyBorder="1" applyAlignment="1">
      <alignment vertical="center"/>
    </xf>
    <xf numFmtId="0" fontId="1" fillId="18" borderId="28" xfId="0" applyFont="1" applyFill="1" applyBorder="1" applyAlignment="1">
      <alignment vertical="center"/>
    </xf>
    <xf numFmtId="166" fontId="8" fillId="18" borderId="41" xfId="0" applyNumberFormat="1" applyFont="1" applyFill="1" applyBorder="1" applyAlignment="1">
      <alignment vertical="center"/>
    </xf>
    <xf numFmtId="0" fontId="6" fillId="18" borderId="36" xfId="0" applyFont="1" applyFill="1" applyBorder="1" applyAlignment="1">
      <alignment horizontal="right" vertical="center"/>
    </xf>
    <xf numFmtId="0" fontId="6" fillId="18" borderId="37" xfId="0" quotePrefix="1" applyFont="1" applyFill="1" applyBorder="1" applyAlignment="1">
      <alignment vertical="center"/>
    </xf>
    <xf numFmtId="0" fontId="8" fillId="18" borderId="37" xfId="0" applyFont="1" applyFill="1" applyBorder="1" applyAlignment="1">
      <alignment vertical="center"/>
    </xf>
    <xf numFmtId="0" fontId="6" fillId="18" borderId="21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horizontal="right" vertical="center"/>
    </xf>
    <xf numFmtId="2" fontId="0" fillId="8" borderId="15" xfId="0" applyNumberFormat="1" applyFont="1" applyFill="1" applyBorder="1" applyAlignment="1">
      <alignment horizontal="right" vertical="center"/>
    </xf>
    <xf numFmtId="2" fontId="0" fillId="8" borderId="18" xfId="0" applyNumberFormat="1" applyFont="1" applyFill="1" applyBorder="1" applyAlignment="1">
      <alignment horizontal="right" vertical="center"/>
    </xf>
    <xf numFmtId="167" fontId="1" fillId="8" borderId="18" xfId="0" applyNumberFormat="1" applyFont="1" applyFill="1" applyBorder="1" applyAlignment="1">
      <alignment vertical="center"/>
    </xf>
    <xf numFmtId="0" fontId="0" fillId="8" borderId="41" xfId="0" quotePrefix="1" applyFont="1" applyFill="1" applyBorder="1" applyAlignment="1">
      <alignment vertical="center"/>
    </xf>
    <xf numFmtId="0" fontId="0" fillId="8" borderId="41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166" fontId="1" fillId="8" borderId="26" xfId="0" applyNumberFormat="1" applyFont="1" applyFill="1" applyBorder="1" applyAlignment="1">
      <alignment vertical="center"/>
    </xf>
    <xf numFmtId="166" fontId="6" fillId="8" borderId="9" xfId="0" applyNumberFormat="1" applyFont="1" applyFill="1" applyBorder="1" applyAlignment="1">
      <alignment horizontal="center" vertical="center"/>
    </xf>
    <xf numFmtId="166" fontId="1" fillId="8" borderId="18" xfId="0" applyNumberFormat="1" applyFont="1" applyFill="1" applyBorder="1" applyAlignment="1">
      <alignment horizontal="center" vertical="center"/>
    </xf>
    <xf numFmtId="166" fontId="1" fillId="8" borderId="32" xfId="0" applyNumberFormat="1" applyFont="1" applyFill="1" applyBorder="1" applyAlignment="1">
      <alignment horizontal="center" vertical="center"/>
    </xf>
    <xf numFmtId="166" fontId="1" fillId="8" borderId="4" xfId="0" applyNumberFormat="1" applyFont="1" applyFill="1" applyBorder="1" applyAlignment="1">
      <alignment horizontal="center" vertical="center"/>
    </xf>
    <xf numFmtId="166" fontId="1" fillId="8" borderId="5" xfId="0" applyNumberFormat="1" applyFont="1" applyFill="1" applyBorder="1" applyAlignment="1">
      <alignment horizontal="center" vertical="center"/>
    </xf>
    <xf numFmtId="166" fontId="1" fillId="8" borderId="29" xfId="0" applyNumberFormat="1" applyFont="1" applyFill="1" applyBorder="1" applyAlignment="1">
      <alignment horizontal="center" vertical="center"/>
    </xf>
    <xf numFmtId="166" fontId="1" fillId="8" borderId="24" xfId="0" applyNumberFormat="1" applyFont="1" applyFill="1" applyBorder="1" applyAlignment="1">
      <alignment horizontal="center" vertical="center"/>
    </xf>
    <xf numFmtId="166" fontId="1" fillId="8" borderId="30" xfId="0" applyNumberFormat="1" applyFont="1" applyFill="1" applyBorder="1" applyAlignment="1">
      <alignment horizontal="center" vertical="center"/>
    </xf>
    <xf numFmtId="166" fontId="1" fillId="8" borderId="6" xfId="0" applyNumberFormat="1" applyFont="1" applyFill="1" applyBorder="1" applyAlignment="1">
      <alignment horizontal="center" vertical="center"/>
    </xf>
    <xf numFmtId="166" fontId="1" fillId="8" borderId="7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8" borderId="18" xfId="0" applyFont="1" applyFill="1" applyBorder="1" applyAlignment="1">
      <alignment vertical="center"/>
    </xf>
    <xf numFmtId="166" fontId="1" fillId="8" borderId="18" xfId="0" applyNumberFormat="1" applyFont="1" applyFill="1" applyBorder="1" applyAlignment="1">
      <alignment horizontal="right" vertical="center"/>
    </xf>
    <xf numFmtId="0" fontId="1" fillId="8" borderId="18" xfId="0" applyFont="1" applyFill="1" applyBorder="1" applyAlignment="1">
      <alignment vertical="center"/>
    </xf>
    <xf numFmtId="2" fontId="6" fillId="8" borderId="18" xfId="0" applyNumberFormat="1" applyFont="1" applyFill="1" applyBorder="1" applyAlignment="1">
      <alignment vertical="center"/>
    </xf>
    <xf numFmtId="170" fontId="6" fillId="8" borderId="18" xfId="0" applyNumberFormat="1" applyFont="1" applyFill="1" applyBorder="1" applyAlignment="1">
      <alignment vertical="center"/>
    </xf>
    <xf numFmtId="166" fontId="6" fillId="8" borderId="18" xfId="0" applyNumberFormat="1" applyFont="1" applyFill="1" applyBorder="1" applyAlignment="1">
      <alignment vertical="center"/>
    </xf>
    <xf numFmtId="168" fontId="1" fillId="0" borderId="0" xfId="0" applyNumberFormat="1" applyFont="1" applyFill="1" applyBorder="1" applyAlignment="1">
      <alignment horizontal="right" vertical="center"/>
    </xf>
    <xf numFmtId="0" fontId="1" fillId="0" borderId="0" xfId="0" quotePrefix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6" fontId="8" fillId="8" borderId="41" xfId="0" applyNumberFormat="1" applyFont="1" applyFill="1" applyBorder="1" applyAlignment="1">
      <alignment vertical="center"/>
    </xf>
    <xf numFmtId="0" fontId="8" fillId="8" borderId="0" xfId="0" applyFont="1" applyFill="1" applyBorder="1" applyAlignment="1">
      <alignment vertical="center"/>
    </xf>
    <xf numFmtId="166" fontId="8" fillId="8" borderId="0" xfId="0" applyNumberFormat="1" applyFont="1" applyFill="1" applyBorder="1" applyAlignment="1">
      <alignment horizontal="left" vertical="center"/>
    </xf>
    <xf numFmtId="0" fontId="1" fillId="8" borderId="28" xfId="0" applyFont="1" applyFill="1" applyBorder="1" applyAlignment="1">
      <alignment vertical="center"/>
    </xf>
    <xf numFmtId="0" fontId="2" fillId="8" borderId="40" xfId="0" applyFont="1" applyFill="1" applyBorder="1" applyAlignment="1">
      <alignment vertical="center"/>
    </xf>
    <xf numFmtId="0" fontId="1" fillId="8" borderId="26" xfId="0" applyFont="1" applyFill="1" applyBorder="1" applyAlignment="1">
      <alignment vertical="center"/>
    </xf>
    <xf numFmtId="0" fontId="1" fillId="8" borderId="26" xfId="0" applyFont="1" applyFill="1" applyBorder="1" applyAlignment="1">
      <alignment horizontal="right" vertical="center"/>
    </xf>
    <xf numFmtId="0" fontId="1" fillId="8" borderId="27" xfId="0" applyFont="1" applyFill="1" applyBorder="1" applyAlignment="1">
      <alignment vertical="center"/>
    </xf>
    <xf numFmtId="0" fontId="6" fillId="8" borderId="41" xfId="0" applyFont="1" applyFill="1" applyBorder="1" applyAlignment="1">
      <alignment vertical="center"/>
    </xf>
    <xf numFmtId="0" fontId="1" fillId="8" borderId="41" xfId="0" applyFont="1" applyFill="1" applyBorder="1" applyAlignment="1">
      <alignment vertical="center"/>
    </xf>
    <xf numFmtId="0" fontId="1" fillId="8" borderId="0" xfId="0" quotePrefix="1" applyFont="1" applyFill="1" applyBorder="1" applyAlignment="1">
      <alignment vertical="center"/>
    </xf>
    <xf numFmtId="0" fontId="5" fillId="8" borderId="36" xfId="0" applyFont="1" applyFill="1" applyBorder="1" applyAlignment="1">
      <alignment horizontal="right" vertical="center"/>
    </xf>
    <xf numFmtId="0" fontId="6" fillId="8" borderId="37" xfId="0" applyFont="1" applyFill="1" applyBorder="1" applyAlignment="1">
      <alignment vertical="center"/>
    </xf>
    <xf numFmtId="0" fontId="8" fillId="8" borderId="37" xfId="0" applyFont="1" applyFill="1" applyBorder="1" applyAlignment="1">
      <alignment vertical="center"/>
    </xf>
    <xf numFmtId="0" fontId="6" fillId="8" borderId="21" xfId="0" applyFont="1" applyFill="1" applyBorder="1" applyAlignment="1">
      <alignment vertical="center"/>
    </xf>
    <xf numFmtId="166" fontId="6" fillId="12" borderId="41" xfId="0" applyNumberFormat="1" applyFont="1" applyFill="1" applyBorder="1" applyAlignment="1">
      <alignment horizontal="right" vertical="center"/>
    </xf>
    <xf numFmtId="0" fontId="20" fillId="17" borderId="0" xfId="0" applyFont="1" applyFill="1" applyBorder="1" applyAlignment="1">
      <alignment horizontal="left" vertical="center"/>
    </xf>
    <xf numFmtId="166" fontId="6" fillId="13" borderId="0" xfId="0" applyNumberFormat="1" applyFont="1" applyFill="1" applyAlignment="1" applyProtection="1">
      <alignment horizontal="left" vertical="center"/>
      <protection locked="0"/>
    </xf>
    <xf numFmtId="167" fontId="1" fillId="10" borderId="24" xfId="0" applyNumberFormat="1" applyFont="1" applyFill="1" applyBorder="1" applyAlignment="1" applyProtection="1">
      <alignment vertical="center"/>
    </xf>
    <xf numFmtId="178" fontId="1" fillId="10" borderId="18" xfId="0" applyNumberFormat="1" applyFont="1" applyFill="1" applyBorder="1" applyAlignment="1">
      <alignment horizontal="center" vertical="center"/>
    </xf>
    <xf numFmtId="167" fontId="1" fillId="10" borderId="18" xfId="0" applyNumberFormat="1" applyFont="1" applyFill="1" applyBorder="1" applyAlignment="1">
      <alignment horizontal="center" vertical="center"/>
    </xf>
    <xf numFmtId="167" fontId="1" fillId="10" borderId="23" xfId="0" applyNumberFormat="1" applyFont="1" applyFill="1" applyBorder="1" applyAlignment="1" applyProtection="1">
      <alignment vertical="center"/>
    </xf>
    <xf numFmtId="167" fontId="1" fillId="10" borderId="24" xfId="0" applyNumberFormat="1" applyFont="1" applyFill="1" applyBorder="1" applyAlignment="1">
      <alignment vertical="center"/>
    </xf>
    <xf numFmtId="2" fontId="1" fillId="10" borderId="7" xfId="0" applyNumberFormat="1" applyFont="1" applyFill="1" applyBorder="1" applyAlignment="1">
      <alignment vertical="center"/>
    </xf>
    <xf numFmtId="167" fontId="1" fillId="16" borderId="15" xfId="0" applyNumberFormat="1" applyFont="1" applyFill="1" applyBorder="1" applyAlignment="1" applyProtection="1">
      <alignment vertical="center"/>
    </xf>
    <xf numFmtId="167" fontId="1" fillId="16" borderId="18" xfId="0" applyNumberFormat="1" applyFont="1" applyFill="1" applyBorder="1" applyAlignment="1" applyProtection="1">
      <alignment vertical="center"/>
    </xf>
    <xf numFmtId="167" fontId="1" fillId="16" borderId="18" xfId="0" applyNumberFormat="1" applyFont="1" applyFill="1" applyBorder="1" applyAlignment="1">
      <alignment vertical="center"/>
    </xf>
    <xf numFmtId="178" fontId="1" fillId="17" borderId="18" xfId="0" applyNumberFormat="1" applyFont="1" applyFill="1" applyBorder="1" applyAlignment="1">
      <alignment horizontal="center" vertical="center"/>
    </xf>
    <xf numFmtId="167" fontId="1" fillId="17" borderId="18" xfId="0" applyNumberFormat="1" applyFont="1" applyFill="1" applyBorder="1" applyAlignment="1">
      <alignment horizontal="center" vertical="center"/>
    </xf>
    <xf numFmtId="167" fontId="1" fillId="17" borderId="15" xfId="0" applyNumberFormat="1" applyFont="1" applyFill="1" applyBorder="1" applyAlignment="1">
      <alignment vertical="center"/>
    </xf>
    <xf numFmtId="167" fontId="1" fillId="17" borderId="18" xfId="0" applyNumberFormat="1" applyFont="1" applyFill="1" applyBorder="1" applyAlignment="1">
      <alignment vertical="center"/>
    </xf>
    <xf numFmtId="0" fontId="6" fillId="11" borderId="18" xfId="0" applyFont="1" applyFill="1" applyBorder="1" applyAlignment="1">
      <alignment horizontal="center" vertical="center"/>
    </xf>
    <xf numFmtId="178" fontId="1" fillId="11" borderId="18" xfId="0" applyNumberFormat="1" applyFont="1" applyFill="1" applyBorder="1" applyAlignment="1">
      <alignment horizontal="center" vertical="center"/>
    </xf>
    <xf numFmtId="167" fontId="1" fillId="11" borderId="18" xfId="0" applyNumberFormat="1" applyFont="1" applyFill="1" applyBorder="1" applyAlignment="1">
      <alignment horizontal="center" vertical="center"/>
    </xf>
    <xf numFmtId="0" fontId="6" fillId="18" borderId="18" xfId="0" applyFont="1" applyFill="1" applyBorder="1" applyAlignment="1">
      <alignment horizontal="center" vertical="center"/>
    </xf>
    <xf numFmtId="178" fontId="1" fillId="18" borderId="18" xfId="0" applyNumberFormat="1" applyFont="1" applyFill="1" applyBorder="1" applyAlignment="1">
      <alignment horizontal="center" vertical="center"/>
    </xf>
    <xf numFmtId="2" fontId="1" fillId="18" borderId="18" xfId="0" applyNumberFormat="1" applyFont="1" applyFill="1" applyBorder="1" applyAlignment="1">
      <alignment horizontal="center" vertical="center"/>
    </xf>
    <xf numFmtId="167" fontId="1" fillId="18" borderId="18" xfId="0" applyNumberFormat="1" applyFont="1" applyFill="1" applyBorder="1" applyAlignment="1">
      <alignment horizontal="center" vertical="center"/>
    </xf>
    <xf numFmtId="167" fontId="1" fillId="18" borderId="23" xfId="0" applyNumberFormat="1" applyFont="1" applyFill="1" applyBorder="1" applyAlignment="1">
      <alignment vertical="center"/>
    </xf>
    <xf numFmtId="167" fontId="1" fillId="18" borderId="24" xfId="0" applyNumberFormat="1" applyFont="1" applyFill="1" applyBorder="1" applyAlignment="1">
      <alignment vertical="center"/>
    </xf>
    <xf numFmtId="167" fontId="1" fillId="18" borderId="7" xfId="0" applyNumberFormat="1" applyFont="1" applyFill="1" applyBorder="1" applyAlignment="1">
      <alignment vertical="center"/>
    </xf>
    <xf numFmtId="167" fontId="1" fillId="8" borderId="15" xfId="0" applyNumberFormat="1" applyFont="1" applyFill="1" applyBorder="1" applyAlignment="1">
      <alignment vertical="center"/>
    </xf>
    <xf numFmtId="167" fontId="1" fillId="0" borderId="0" xfId="0" applyNumberFormat="1" applyFont="1" applyFill="1" applyBorder="1" applyAlignment="1">
      <alignment vertical="center"/>
    </xf>
    <xf numFmtId="167" fontId="1" fillId="10" borderId="5" xfId="0" applyNumberFormat="1" applyFont="1" applyFill="1" applyBorder="1" applyAlignment="1" applyProtection="1">
      <alignment vertical="center"/>
    </xf>
    <xf numFmtId="167" fontId="1" fillId="10" borderId="7" xfId="0" applyNumberFormat="1" applyFont="1" applyFill="1" applyBorder="1" applyAlignment="1">
      <alignment vertical="center"/>
    </xf>
    <xf numFmtId="167" fontId="1" fillId="9" borderId="15" xfId="0" applyNumberFormat="1" applyFont="1" applyFill="1" applyBorder="1" applyAlignment="1">
      <alignment vertical="center"/>
    </xf>
    <xf numFmtId="167" fontId="1" fillId="9" borderId="18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11" borderId="35" xfId="0" applyNumberFormat="1" applyFont="1" applyFill="1" applyBorder="1" applyAlignment="1">
      <alignment horizontal="center" vertical="center"/>
    </xf>
    <xf numFmtId="167" fontId="1" fillId="11" borderId="35" xfId="0" applyNumberFormat="1" applyFont="1" applyFill="1" applyBorder="1" applyAlignment="1">
      <alignment horizontal="center" vertical="center"/>
    </xf>
    <xf numFmtId="167" fontId="1" fillId="11" borderId="18" xfId="0" applyNumberFormat="1" applyFont="1" applyFill="1" applyBorder="1" applyAlignment="1">
      <alignment vertical="center"/>
    </xf>
    <xf numFmtId="167" fontId="1" fillId="11" borderId="18" xfId="0" applyNumberFormat="1" applyFont="1" applyFill="1" applyBorder="1" applyAlignment="1" applyProtection="1">
      <alignment vertical="center"/>
    </xf>
    <xf numFmtId="167" fontId="6" fillId="11" borderId="18" xfId="0" applyNumberFormat="1" applyFont="1" applyFill="1" applyBorder="1" applyAlignment="1">
      <alignment vertical="center"/>
    </xf>
    <xf numFmtId="167" fontId="1" fillId="12" borderId="18" xfId="0" applyNumberFormat="1" applyFont="1" applyFill="1" applyBorder="1" applyAlignment="1">
      <alignment vertical="center"/>
    </xf>
    <xf numFmtId="167" fontId="1" fillId="12" borderId="18" xfId="0" applyNumberFormat="1" applyFont="1" applyFill="1" applyBorder="1" applyAlignment="1" applyProtection="1">
      <alignment vertical="center"/>
    </xf>
    <xf numFmtId="167" fontId="6" fillId="12" borderId="18" xfId="0" applyNumberFormat="1" applyFont="1" applyFill="1" applyBorder="1" applyAlignment="1">
      <alignment vertical="center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167" fontId="6" fillId="0" borderId="0" xfId="0" applyNumberFormat="1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8" fillId="8" borderId="28" xfId="0" applyFont="1" applyFill="1" applyBorder="1" applyAlignment="1">
      <alignment vertical="center"/>
    </xf>
    <xf numFmtId="166" fontId="0" fillId="13" borderId="0" xfId="0" applyNumberFormat="1" applyFill="1" applyBorder="1" applyAlignment="1" applyProtection="1">
      <alignment horizontal="left" vertical="center"/>
      <protection locked="0"/>
    </xf>
    <xf numFmtId="179" fontId="0" fillId="13" borderId="0" xfId="0" applyNumberForma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76" fontId="6" fillId="0" borderId="0" xfId="0" applyNumberFormat="1" applyFont="1" applyFill="1" applyBorder="1" applyAlignment="1" applyProtection="1">
      <alignment horizontal="left" vertical="center"/>
    </xf>
    <xf numFmtId="169" fontId="0" fillId="0" borderId="0" xfId="0" applyNumberForma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166" fontId="0" fillId="0" borderId="0" xfId="0" applyNumberForma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left" vertical="center"/>
    </xf>
    <xf numFmtId="166" fontId="0" fillId="0" borderId="0" xfId="0" applyNumberFormat="1" applyFill="1" applyBorder="1" applyAlignment="1" applyProtection="1">
      <alignment horizontal="right" vertical="center"/>
    </xf>
    <xf numFmtId="179" fontId="0" fillId="0" borderId="0" xfId="0" applyNumberForma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168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45" xfId="0" applyFont="1" applyFill="1" applyBorder="1" applyAlignment="1" applyProtection="1">
      <alignment horizontal="left" vertical="center"/>
    </xf>
    <xf numFmtId="0" fontId="2" fillId="0" borderId="46" xfId="0" applyFont="1" applyFill="1" applyBorder="1" applyAlignment="1" applyProtection="1">
      <alignment horizontal="left" vertical="center"/>
    </xf>
    <xf numFmtId="0" fontId="2" fillId="0" borderId="17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horizontal="right" vertical="center"/>
    </xf>
    <xf numFmtId="176" fontId="20" fillId="0" borderId="0" xfId="0" applyNumberFormat="1" applyFont="1" applyFill="1" applyBorder="1" applyAlignment="1" applyProtection="1">
      <alignment horizontal="left" vertical="center"/>
    </xf>
    <xf numFmtId="166" fontId="20" fillId="0" borderId="0" xfId="0" applyNumberFormat="1" applyFont="1" applyFill="1" applyBorder="1" applyAlignment="1" applyProtection="1">
      <alignment vertical="center"/>
    </xf>
    <xf numFmtId="166" fontId="20" fillId="0" borderId="0" xfId="0" applyNumberFormat="1" applyFont="1" applyFill="1" applyBorder="1" applyAlignment="1" applyProtection="1">
      <alignment horizontal="left" vertical="center"/>
    </xf>
    <xf numFmtId="166" fontId="20" fillId="0" borderId="0" xfId="0" applyNumberFormat="1" applyFont="1" applyFill="1" applyBorder="1" applyAlignment="1" applyProtection="1">
      <alignment horizontal="right" vertical="center"/>
    </xf>
    <xf numFmtId="166" fontId="21" fillId="0" borderId="0" xfId="0" applyNumberFormat="1" applyFont="1" applyFill="1" applyBorder="1" applyAlignment="1" applyProtection="1">
      <alignment horizontal="right" vertical="center"/>
    </xf>
    <xf numFmtId="0" fontId="21" fillId="0" borderId="0" xfId="0" applyFont="1" applyFill="1" applyBorder="1" applyAlignment="1" applyProtection="1">
      <alignment vertical="center"/>
    </xf>
    <xf numFmtId="166" fontId="21" fillId="0" borderId="0" xfId="0" applyNumberFormat="1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vertical="center"/>
    </xf>
    <xf numFmtId="0" fontId="1" fillId="15" borderId="18" xfId="0" applyFont="1" applyFill="1" applyBorder="1" applyAlignment="1">
      <alignment vertical="center"/>
    </xf>
    <xf numFmtId="0" fontId="6" fillId="15" borderId="18" xfId="0" applyFont="1" applyFill="1" applyBorder="1" applyAlignment="1">
      <alignment horizontal="left" vertical="center"/>
    </xf>
    <xf numFmtId="2" fontId="0" fillId="15" borderId="18" xfId="0" applyNumberFormat="1" applyFill="1" applyBorder="1" applyAlignment="1">
      <alignment horizontal="left"/>
    </xf>
    <xf numFmtId="0" fontId="6" fillId="15" borderId="18" xfId="0" applyFont="1" applyFill="1" applyBorder="1" applyAlignment="1">
      <alignment vertical="center"/>
    </xf>
    <xf numFmtId="0" fontId="6" fillId="15" borderId="18" xfId="0" applyFont="1" applyFill="1" applyBorder="1"/>
    <xf numFmtId="0" fontId="6" fillId="8" borderId="18" xfId="0" applyFont="1" applyFill="1" applyBorder="1"/>
    <xf numFmtId="0" fontId="6" fillId="8" borderId="18" xfId="0" applyFont="1" applyFill="1" applyBorder="1" applyAlignment="1">
      <alignment horizontal="left" vertical="center"/>
    </xf>
    <xf numFmtId="2" fontId="0" fillId="8" borderId="18" xfId="0" applyNumberFormat="1" applyFill="1" applyBorder="1" applyAlignment="1">
      <alignment horizontal="left"/>
    </xf>
    <xf numFmtId="166" fontId="21" fillId="0" borderId="0" xfId="0" applyNumberFormat="1" applyFont="1" applyFill="1" applyBorder="1" applyAlignment="1" applyProtection="1">
      <alignment vertical="center"/>
    </xf>
    <xf numFmtId="176" fontId="21" fillId="0" borderId="0" xfId="0" applyNumberFormat="1" applyFont="1" applyFill="1" applyBorder="1" applyAlignment="1" applyProtection="1">
      <alignment horizontal="right" vertical="center"/>
    </xf>
    <xf numFmtId="176" fontId="21" fillId="0" borderId="0" xfId="0" applyNumberFormat="1" applyFont="1" applyFill="1" applyBorder="1" applyAlignment="1" applyProtection="1">
      <alignment horizontal="left" vertical="center"/>
    </xf>
    <xf numFmtId="166" fontId="2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 applyProtection="1">
      <alignment horizontal="left" vertical="center"/>
    </xf>
    <xf numFmtId="166" fontId="23" fillId="12" borderId="41" xfId="0" applyNumberFormat="1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vertical="center"/>
    </xf>
    <xf numFmtId="166" fontId="23" fillId="12" borderId="0" xfId="0" applyNumberFormat="1" applyFont="1" applyFill="1" applyBorder="1" applyAlignment="1">
      <alignment horizontal="left" vertical="center"/>
    </xf>
    <xf numFmtId="166" fontId="23" fillId="12" borderId="0" xfId="0" applyNumberFormat="1" applyFont="1" applyFill="1" applyBorder="1" applyAlignment="1">
      <alignment vertical="center"/>
    </xf>
    <xf numFmtId="166" fontId="23" fillId="12" borderId="37" xfId="0" applyNumberFormat="1" applyFont="1" applyFill="1" applyBorder="1" applyAlignment="1">
      <alignment vertical="center"/>
    </xf>
    <xf numFmtId="0" fontId="6" fillId="0" borderId="18" xfId="0" applyFont="1" applyBorder="1"/>
    <xf numFmtId="2" fontId="0" fillId="0" borderId="18" xfId="0" applyNumberFormat="1" applyBorder="1" applyAlignment="1">
      <alignment horizontal="left"/>
    </xf>
    <xf numFmtId="2" fontId="6" fillId="12" borderId="18" xfId="0" applyNumberFormat="1" applyFont="1" applyFill="1" applyBorder="1" applyAlignment="1">
      <alignment horizontal="left" vertical="center"/>
    </xf>
    <xf numFmtId="0" fontId="5" fillId="12" borderId="36" xfId="0" applyFont="1" applyFill="1" applyBorder="1" applyAlignment="1">
      <alignment vertical="center"/>
    </xf>
    <xf numFmtId="0" fontId="6" fillId="12" borderId="21" xfId="0" applyFont="1" applyFill="1" applyBorder="1" applyAlignment="1">
      <alignment vertical="center"/>
    </xf>
    <xf numFmtId="2" fontId="6" fillId="11" borderId="18" xfId="0" applyNumberFormat="1" applyFont="1" applyFill="1" applyBorder="1" applyAlignment="1">
      <alignment horizontal="left" vertical="center"/>
    </xf>
    <xf numFmtId="0" fontId="5" fillId="11" borderId="36" xfId="0" applyFont="1" applyFill="1" applyBorder="1" applyAlignment="1">
      <alignment horizontal="right" vertical="center"/>
    </xf>
    <xf numFmtId="0" fontId="5" fillId="11" borderId="37" xfId="0" applyFont="1" applyFill="1" applyBorder="1" applyAlignment="1">
      <alignment vertical="center"/>
    </xf>
    <xf numFmtId="0" fontId="20" fillId="11" borderId="0" xfId="0" quotePrefix="1" applyFont="1" applyFill="1" applyBorder="1" applyAlignment="1">
      <alignment vertical="center"/>
    </xf>
    <xf numFmtId="166" fontId="20" fillId="11" borderId="41" xfId="0" applyNumberFormat="1" applyFont="1" applyFill="1" applyBorder="1" applyAlignment="1">
      <alignment horizontal="right" vertical="center"/>
    </xf>
    <xf numFmtId="165" fontId="0" fillId="2" borderId="0" xfId="0" applyNumberFormat="1" applyFont="1" applyFill="1" applyBorder="1" applyAlignment="1" applyProtection="1">
      <alignment horizontal="left" vertical="center"/>
      <protection locked="0"/>
    </xf>
    <xf numFmtId="0" fontId="6" fillId="12" borderId="26" xfId="0" quotePrefix="1" applyFont="1" applyFill="1" applyBorder="1" applyAlignment="1">
      <alignment vertical="center"/>
    </xf>
    <xf numFmtId="0" fontId="6" fillId="12" borderId="27" xfId="0" applyFont="1" applyFill="1" applyBorder="1" applyAlignment="1">
      <alignment vertical="center"/>
    </xf>
    <xf numFmtId="166" fontId="8" fillId="17" borderId="0" xfId="0" applyNumberFormat="1" applyFont="1" applyFill="1" applyBorder="1" applyAlignment="1">
      <alignment vertical="center"/>
    </xf>
    <xf numFmtId="2" fontId="0" fillId="17" borderId="18" xfId="0" applyNumberFormat="1" applyFont="1" applyFill="1" applyBorder="1" applyAlignment="1">
      <alignment horizontal="left" vertical="center"/>
    </xf>
    <xf numFmtId="166" fontId="5" fillId="17" borderId="36" xfId="0" applyNumberFormat="1" applyFont="1" applyFill="1" applyBorder="1" applyAlignment="1">
      <alignment horizontal="right" vertical="center"/>
    </xf>
    <xf numFmtId="166" fontId="5" fillId="17" borderId="37" xfId="0" applyNumberFormat="1" applyFont="1" applyFill="1" applyBorder="1" applyAlignment="1">
      <alignment vertical="center"/>
    </xf>
    <xf numFmtId="0" fontId="6" fillId="17" borderId="26" xfId="0" applyFont="1" applyFill="1" applyBorder="1" applyAlignment="1">
      <alignment vertical="center"/>
    </xf>
    <xf numFmtId="176" fontId="23" fillId="0" borderId="0" xfId="0" applyNumberFormat="1" applyFont="1" applyFill="1" applyBorder="1" applyAlignment="1">
      <alignment horizontal="left" vertical="center"/>
    </xf>
    <xf numFmtId="0" fontId="0" fillId="12" borderId="9" xfId="0" applyFont="1" applyFill="1" applyBorder="1" applyAlignment="1">
      <alignment vertical="center"/>
    </xf>
    <xf numFmtId="0" fontId="1" fillId="12" borderId="47" xfId="0" applyFont="1" applyFill="1" applyBorder="1" applyAlignment="1">
      <alignment vertical="center"/>
    </xf>
    <xf numFmtId="166" fontId="1" fillId="12" borderId="48" xfId="0" applyNumberFormat="1" applyFont="1" applyFill="1" applyBorder="1" applyAlignment="1">
      <alignment vertical="center"/>
    </xf>
    <xf numFmtId="166" fontId="1" fillId="12" borderId="49" xfId="0" applyNumberFormat="1" applyFont="1" applyFill="1" applyBorder="1" applyAlignment="1">
      <alignment vertical="center"/>
    </xf>
    <xf numFmtId="166" fontId="1" fillId="12" borderId="32" xfId="0" applyNumberFormat="1" applyFont="1" applyFill="1" applyBorder="1" applyAlignment="1">
      <alignment vertical="center"/>
    </xf>
    <xf numFmtId="166" fontId="1" fillId="12" borderId="4" xfId="0" applyNumberFormat="1" applyFont="1" applyFill="1" applyBorder="1" applyAlignment="1">
      <alignment vertical="center"/>
    </xf>
    <xf numFmtId="166" fontId="1" fillId="12" borderId="5" xfId="0" applyNumberFormat="1" applyFont="1" applyFill="1" applyBorder="1" applyAlignment="1">
      <alignment vertical="center"/>
    </xf>
    <xf numFmtId="166" fontId="1" fillId="12" borderId="29" xfId="0" applyNumberFormat="1" applyFont="1" applyFill="1" applyBorder="1" applyAlignment="1">
      <alignment vertical="center"/>
    </xf>
    <xf numFmtId="166" fontId="1" fillId="12" borderId="24" xfId="0" applyNumberFormat="1" applyFont="1" applyFill="1" applyBorder="1" applyAlignment="1">
      <alignment vertical="center"/>
    </xf>
    <xf numFmtId="166" fontId="1" fillId="12" borderId="30" xfId="0" applyNumberFormat="1" applyFont="1" applyFill="1" applyBorder="1" applyAlignment="1">
      <alignment vertical="center"/>
    </xf>
    <xf numFmtId="166" fontId="1" fillId="12" borderId="6" xfId="0" applyNumberFormat="1" applyFont="1" applyFill="1" applyBorder="1" applyAlignment="1">
      <alignment vertical="center"/>
    </xf>
    <xf numFmtId="166" fontId="1" fillId="12" borderId="7" xfId="0" applyNumberFormat="1" applyFont="1" applyFill="1" applyBorder="1" applyAlignment="1">
      <alignment vertical="center"/>
    </xf>
    <xf numFmtId="0" fontId="1" fillId="12" borderId="16" xfId="0" quotePrefix="1" applyFont="1" applyFill="1" applyBorder="1" applyAlignment="1">
      <alignment horizontal="left" vertical="center"/>
    </xf>
    <xf numFmtId="0" fontId="6" fillId="12" borderId="16" xfId="0" applyFont="1" applyFill="1" applyBorder="1" applyAlignment="1">
      <alignment horizontal="left" vertical="center"/>
    </xf>
    <xf numFmtId="0" fontId="0" fillId="12" borderId="19" xfId="0" applyFont="1" applyFill="1" applyBorder="1" applyAlignment="1">
      <alignment vertical="center"/>
    </xf>
    <xf numFmtId="0" fontId="0" fillId="0" borderId="0" xfId="0" quotePrefix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166" fontId="1" fillId="12" borderId="47" xfId="0" applyNumberFormat="1" applyFont="1" applyFill="1" applyBorder="1" applyAlignment="1">
      <alignment vertical="center"/>
    </xf>
    <xf numFmtId="166" fontId="1" fillId="12" borderId="42" xfId="0" applyNumberFormat="1" applyFont="1" applyFill="1" applyBorder="1" applyAlignment="1">
      <alignment vertical="center"/>
    </xf>
    <xf numFmtId="0" fontId="0" fillId="12" borderId="11" xfId="0" quotePrefix="1" applyFont="1" applyFill="1" applyBorder="1" applyAlignment="1">
      <alignment horizontal="left" vertical="center"/>
    </xf>
    <xf numFmtId="0" fontId="0" fillId="10" borderId="9" xfId="0" quotePrefix="1" applyFont="1" applyFill="1" applyBorder="1" applyAlignment="1">
      <alignment horizontal="left" vertical="center"/>
    </xf>
    <xf numFmtId="49" fontId="0" fillId="10" borderId="8" xfId="0" applyNumberFormat="1" applyFont="1" applyFill="1" applyBorder="1" applyAlignment="1">
      <alignment horizontal="left" vertical="center"/>
    </xf>
    <xf numFmtId="0" fontId="1" fillId="9" borderId="9" xfId="0" quotePrefix="1" applyFont="1" applyFill="1" applyBorder="1" applyAlignment="1">
      <alignment horizontal="left" vertical="center"/>
    </xf>
    <xf numFmtId="49" fontId="0" fillId="9" borderId="39" xfId="0" applyNumberFormat="1" applyFont="1" applyFill="1" applyBorder="1" applyAlignment="1">
      <alignment horizontal="left" vertical="center"/>
    </xf>
    <xf numFmtId="166" fontId="1" fillId="11" borderId="50" xfId="0" applyNumberFormat="1" applyFont="1" applyFill="1" applyBorder="1" applyAlignment="1">
      <alignment vertical="center"/>
    </xf>
    <xf numFmtId="166" fontId="1" fillId="11" borderId="37" xfId="0" applyNumberFormat="1" applyFont="1" applyFill="1" applyBorder="1" applyAlignment="1">
      <alignment vertical="center"/>
    </xf>
    <xf numFmtId="166" fontId="1" fillId="11" borderId="33" xfId="0" applyNumberFormat="1" applyFont="1" applyFill="1" applyBorder="1" applyAlignment="1">
      <alignment vertical="center"/>
    </xf>
    <xf numFmtId="166" fontId="1" fillId="11" borderId="29" xfId="0" applyNumberFormat="1" applyFont="1" applyFill="1" applyBorder="1" applyAlignment="1">
      <alignment vertical="center"/>
    </xf>
    <xf numFmtId="166" fontId="1" fillId="11" borderId="30" xfId="0" applyNumberFormat="1" applyFont="1" applyFill="1" applyBorder="1" applyAlignment="1">
      <alignment vertical="center"/>
    </xf>
    <xf numFmtId="166" fontId="1" fillId="11" borderId="31" xfId="0" applyNumberFormat="1" applyFont="1" applyFill="1" applyBorder="1" applyAlignment="1">
      <alignment vertical="center"/>
    </xf>
    <xf numFmtId="166" fontId="1" fillId="11" borderId="2" xfId="0" applyNumberFormat="1" applyFont="1" applyFill="1" applyBorder="1" applyAlignment="1">
      <alignment vertical="center"/>
    </xf>
    <xf numFmtId="166" fontId="1" fillId="11" borderId="3" xfId="0" applyNumberFormat="1" applyFont="1" applyFill="1" applyBorder="1" applyAlignment="1">
      <alignment vertical="center"/>
    </xf>
    <xf numFmtId="0" fontId="1" fillId="17" borderId="15" xfId="0" applyFont="1" applyFill="1" applyBorder="1" applyAlignment="1">
      <alignment vertical="center"/>
    </xf>
    <xf numFmtId="170" fontId="1" fillId="17" borderId="15" xfId="0" applyNumberFormat="1" applyFont="1" applyFill="1" applyBorder="1" applyAlignment="1">
      <alignment vertical="center"/>
    </xf>
    <xf numFmtId="0" fontId="0" fillId="17" borderId="16" xfId="0" applyFont="1" applyFill="1" applyBorder="1" applyAlignment="1">
      <alignment horizontal="left" vertical="center"/>
    </xf>
    <xf numFmtId="0" fontId="1" fillId="17" borderId="16" xfId="0" applyFont="1" applyFill="1" applyBorder="1" applyAlignment="1">
      <alignment horizontal="left" vertical="center"/>
    </xf>
    <xf numFmtId="0" fontId="1" fillId="17" borderId="16" xfId="0" applyFont="1" applyFill="1" applyBorder="1" applyAlignment="1">
      <alignment vertical="center"/>
    </xf>
    <xf numFmtId="0" fontId="1" fillId="17" borderId="12" xfId="0" quotePrefix="1" applyFont="1" applyFill="1" applyBorder="1" applyAlignment="1">
      <alignment horizontal="left" vertical="center"/>
    </xf>
    <xf numFmtId="166" fontId="1" fillId="17" borderId="15" xfId="0" applyNumberFormat="1" applyFont="1" applyFill="1" applyBorder="1" applyAlignment="1">
      <alignment vertical="center"/>
    </xf>
    <xf numFmtId="166" fontId="1" fillId="17" borderId="22" xfId="0" applyNumberFormat="1" applyFont="1" applyFill="1" applyBorder="1" applyAlignment="1">
      <alignment vertical="center"/>
    </xf>
    <xf numFmtId="166" fontId="1" fillId="17" borderId="2" xfId="0" applyNumberFormat="1" applyFont="1" applyFill="1" applyBorder="1" applyAlignment="1">
      <alignment vertical="center"/>
    </xf>
    <xf numFmtId="166" fontId="1" fillId="17" borderId="3" xfId="0" applyNumberFormat="1" applyFont="1" applyFill="1" applyBorder="1" applyAlignment="1">
      <alignment vertical="center"/>
    </xf>
    <xf numFmtId="166" fontId="1" fillId="17" borderId="23" xfId="0" applyNumberFormat="1" applyFont="1" applyFill="1" applyBorder="1" applyAlignment="1">
      <alignment vertical="center"/>
    </xf>
    <xf numFmtId="166" fontId="1" fillId="17" borderId="24" xfId="0" applyNumberFormat="1" applyFont="1" applyFill="1" applyBorder="1" applyAlignment="1">
      <alignment vertical="center"/>
    </xf>
    <xf numFmtId="166" fontId="1" fillId="17" borderId="7" xfId="0" applyNumberFormat="1" applyFont="1" applyFill="1" applyBorder="1" applyAlignment="1">
      <alignment vertical="center"/>
    </xf>
    <xf numFmtId="166" fontId="1" fillId="17" borderId="14" xfId="0" applyNumberFormat="1" applyFont="1" applyFill="1" applyBorder="1" applyAlignment="1">
      <alignment vertical="center"/>
    </xf>
    <xf numFmtId="2" fontId="0" fillId="8" borderId="33" xfId="0" applyNumberFormat="1" applyFont="1" applyFill="1" applyBorder="1" applyAlignment="1" applyProtection="1">
      <alignment vertical="center"/>
    </xf>
    <xf numFmtId="2" fontId="1" fillId="8" borderId="38" xfId="0" applyNumberFormat="1" applyFont="1" applyFill="1" applyBorder="1" applyAlignment="1" applyProtection="1">
      <alignment vertical="center"/>
    </xf>
    <xf numFmtId="49" fontId="0" fillId="10" borderId="39" xfId="0" quotePrefix="1" applyNumberFormat="1" applyFont="1" applyFill="1" applyBorder="1" applyAlignment="1">
      <alignment horizontal="left" vertical="center"/>
    </xf>
    <xf numFmtId="177" fontId="0" fillId="10" borderId="18" xfId="0" applyNumberFormat="1" applyFont="1" applyFill="1" applyBorder="1" applyAlignment="1">
      <alignment horizontal="center" vertical="center"/>
    </xf>
    <xf numFmtId="177" fontId="1" fillId="10" borderId="18" xfId="0" applyNumberFormat="1" applyFont="1" applyFill="1" applyBorder="1" applyAlignment="1">
      <alignment horizontal="center" vertical="center"/>
    </xf>
    <xf numFmtId="2" fontId="0" fillId="8" borderId="45" xfId="0" applyNumberForma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10" borderId="9" xfId="0" applyFont="1" applyFill="1" applyBorder="1" applyAlignment="1">
      <alignment vertical="center"/>
    </xf>
    <xf numFmtId="0" fontId="6" fillId="0" borderId="0" xfId="0" quotePrefix="1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0" fillId="17" borderId="19" xfId="0" applyFont="1" applyFill="1" applyBorder="1" applyAlignment="1">
      <alignment horizontal="left" vertical="center"/>
    </xf>
    <xf numFmtId="0" fontId="0" fillId="17" borderId="19" xfId="0" quotePrefix="1" applyFont="1" applyFill="1" applyBorder="1" applyAlignment="1">
      <alignment horizontal="left" vertical="center"/>
    </xf>
    <xf numFmtId="0" fontId="0" fillId="11" borderId="39" xfId="0" quotePrefix="1" applyFont="1" applyFill="1" applyBorder="1" applyAlignment="1">
      <alignment horizontal="left" vertical="center"/>
    </xf>
    <xf numFmtId="0" fontId="0" fillId="11" borderId="39" xfId="0" applyFont="1" applyFill="1" applyBorder="1" applyAlignment="1">
      <alignment horizontal="left" vertical="center"/>
    </xf>
    <xf numFmtId="2" fontId="6" fillId="13" borderId="0" xfId="0" applyNumberFormat="1" applyFont="1" applyFill="1" applyAlignment="1" applyProtection="1">
      <alignment horizontal="left" vertical="center"/>
      <protection locked="0"/>
    </xf>
    <xf numFmtId="164" fontId="6" fillId="13" borderId="0" xfId="0" applyNumberFormat="1" applyFont="1" applyFill="1" applyAlignment="1" applyProtection="1">
      <alignment horizontal="left" vertical="center"/>
      <protection locked="0"/>
    </xf>
    <xf numFmtId="0" fontId="6" fillId="13" borderId="0" xfId="0" applyNumberFormat="1" applyFont="1" applyFill="1" applyAlignment="1" applyProtection="1">
      <alignment horizontal="left" vertical="center"/>
      <protection locked="0"/>
    </xf>
    <xf numFmtId="0" fontId="6" fillId="0" borderId="0" xfId="0" quotePrefix="1" applyFont="1" applyAlignment="1">
      <alignment horizontal="left"/>
    </xf>
    <xf numFmtId="168" fontId="1" fillId="13" borderId="0" xfId="0" applyNumberFormat="1" applyFont="1" applyFill="1" applyBorder="1" applyAlignment="1" applyProtection="1">
      <alignment horizontal="left" vertical="center"/>
      <protection locked="0"/>
    </xf>
    <xf numFmtId="0" fontId="1" fillId="13" borderId="0" xfId="0" applyFont="1" applyFill="1" applyBorder="1" applyAlignment="1" applyProtection="1">
      <alignment horizontal="left" vertical="center"/>
      <protection locked="0"/>
    </xf>
    <xf numFmtId="0" fontId="6" fillId="13" borderId="40" xfId="0" applyFont="1" applyFill="1" applyBorder="1" applyAlignment="1" applyProtection="1">
      <alignment vertical="center"/>
      <protection locked="0"/>
    </xf>
    <xf numFmtId="0" fontId="1" fillId="13" borderId="0" xfId="0" applyNumberFormat="1" applyFont="1" applyFill="1" applyBorder="1" applyAlignment="1" applyProtection="1">
      <alignment horizontal="left" vertical="center"/>
      <protection locked="0"/>
    </xf>
    <xf numFmtId="0" fontId="5" fillId="13" borderId="40" xfId="0" applyFont="1" applyFill="1" applyBorder="1" applyAlignment="1" applyProtection="1">
      <alignment horizontal="left" vertical="center"/>
      <protection locked="0"/>
    </xf>
    <xf numFmtId="166" fontId="5" fillId="13" borderId="40" xfId="0" applyNumberFormat="1" applyFont="1" applyFill="1" applyBorder="1" applyAlignment="1" applyProtection="1">
      <alignment horizontal="left" vertical="center"/>
      <protection locked="0"/>
    </xf>
    <xf numFmtId="0" fontId="6" fillId="13" borderId="0" xfId="0" applyFont="1" applyFill="1" applyAlignment="1" applyProtection="1">
      <alignment horizontal="left" vertical="center"/>
      <protection locked="0"/>
    </xf>
    <xf numFmtId="0" fontId="0" fillId="10" borderId="39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6" fillId="13" borderId="0" xfId="0" applyFont="1" applyFill="1" applyAlignment="1" applyProtection="1">
      <alignment vertical="center"/>
      <protection locked="0"/>
    </xf>
    <xf numFmtId="180" fontId="20" fillId="10" borderId="37" xfId="0" applyNumberFormat="1" applyFont="1" applyFill="1" applyBorder="1" applyAlignment="1">
      <alignment horizontal="left" vertical="center"/>
    </xf>
    <xf numFmtId="180" fontId="20" fillId="16" borderId="37" xfId="0" applyNumberFormat="1" applyFont="1" applyFill="1" applyBorder="1" applyAlignment="1">
      <alignment horizontal="left" vertical="center"/>
    </xf>
    <xf numFmtId="180" fontId="20" fillId="17" borderId="0" xfId="0" applyNumberFormat="1" applyFont="1" applyFill="1" applyBorder="1" applyAlignment="1">
      <alignment horizontal="left" vertical="center"/>
    </xf>
    <xf numFmtId="180" fontId="5" fillId="17" borderId="37" xfId="0" applyNumberFormat="1" applyFont="1" applyFill="1" applyBorder="1" applyAlignment="1">
      <alignment horizontal="left" vertical="center"/>
    </xf>
    <xf numFmtId="180" fontId="20" fillId="14" borderId="37" xfId="0" applyNumberFormat="1" applyFont="1" applyFill="1" applyBorder="1" applyAlignment="1">
      <alignment horizontal="left" vertical="center"/>
    </xf>
    <xf numFmtId="180" fontId="20" fillId="11" borderId="0" xfId="0" applyNumberFormat="1" applyFont="1" applyFill="1" applyBorder="1" applyAlignment="1">
      <alignment horizontal="left" vertical="center"/>
    </xf>
    <xf numFmtId="180" fontId="5" fillId="11" borderId="37" xfId="0" applyNumberFormat="1" applyFont="1" applyFill="1" applyBorder="1" applyAlignment="1">
      <alignment horizontal="left" vertical="center"/>
    </xf>
    <xf numFmtId="180" fontId="23" fillId="12" borderId="0" xfId="0" applyNumberFormat="1" applyFont="1" applyFill="1" applyBorder="1" applyAlignment="1">
      <alignment horizontal="left" vertical="center"/>
    </xf>
    <xf numFmtId="180" fontId="23" fillId="12" borderId="37" xfId="0" applyNumberFormat="1" applyFont="1" applyFill="1" applyBorder="1" applyAlignment="1">
      <alignment horizontal="left" vertical="center"/>
    </xf>
    <xf numFmtId="167" fontId="1" fillId="0" borderId="18" xfId="0" applyNumberFormat="1" applyFont="1" applyBorder="1" applyAlignment="1">
      <alignment horizontal="right" vertical="center"/>
    </xf>
    <xf numFmtId="166" fontId="1" fillId="13" borderId="0" xfId="0" applyNumberFormat="1" applyFont="1" applyFill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6" fillId="0" borderId="0" xfId="0" quotePrefix="1" applyFont="1" applyBorder="1" applyAlignment="1">
      <alignment vertical="center"/>
    </xf>
    <xf numFmtId="166" fontId="6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1" fillId="0" borderId="33" xfId="0" applyFont="1" applyBorder="1" applyAlignment="1" applyProtection="1">
      <alignment horizontal="right" vertical="center"/>
      <protection hidden="1"/>
    </xf>
    <xf numFmtId="0" fontId="6" fillId="0" borderId="34" xfId="0" quotePrefix="1" applyFont="1" applyBorder="1" applyAlignment="1">
      <alignment vertical="center"/>
    </xf>
    <xf numFmtId="168" fontId="1" fillId="0" borderId="38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18" xfId="0" quotePrefix="1" applyFont="1" applyBorder="1" applyAlignment="1">
      <alignment horizontal="right" vertical="center"/>
    </xf>
    <xf numFmtId="167" fontId="1" fillId="0" borderId="18" xfId="0" applyNumberFormat="1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1" fillId="0" borderId="34" xfId="0" quotePrefix="1" applyFont="1" applyFill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5" fillId="0" borderId="36" xfId="0" applyFont="1" applyFill="1" applyBorder="1" applyAlignment="1">
      <alignment horizontal="right" vertical="center"/>
    </xf>
    <xf numFmtId="0" fontId="1" fillId="0" borderId="37" xfId="0" quotePrefix="1" applyFont="1" applyFill="1" applyBorder="1" applyAlignment="1">
      <alignment vertical="center"/>
    </xf>
    <xf numFmtId="168" fontId="5" fillId="0" borderId="37" xfId="0" applyNumberFormat="1" applyFont="1" applyFill="1" applyBorder="1" applyAlignment="1">
      <alignment horizontal="left" vertical="center"/>
    </xf>
    <xf numFmtId="0" fontId="1" fillId="0" borderId="37" xfId="0" applyFont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1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1" fillId="0" borderId="0" xfId="0" quotePrefix="1" applyFont="1" applyAlignment="1">
      <alignment vertical="center"/>
    </xf>
    <xf numFmtId="172" fontId="1" fillId="13" borderId="0" xfId="0" applyNumberFormat="1" applyFont="1" applyFill="1" applyBorder="1" applyAlignment="1" applyProtection="1">
      <alignment horizontal="left" vertical="center"/>
      <protection locked="0"/>
    </xf>
    <xf numFmtId="172" fontId="5" fillId="0" borderId="34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2" fontId="6" fillId="12" borderId="33" xfId="0" applyNumberFormat="1" applyFont="1" applyFill="1" applyBorder="1" applyAlignment="1" applyProtection="1">
      <alignment horizontal="center" vertical="center"/>
    </xf>
    <xf numFmtId="2" fontId="1" fillId="12" borderId="38" xfId="0" applyNumberFormat="1" applyFont="1" applyFill="1" applyBorder="1" applyAlignment="1" applyProtection="1">
      <alignment horizontal="center" vertical="center"/>
    </xf>
    <xf numFmtId="2" fontId="1" fillId="9" borderId="38" xfId="0" applyNumberFormat="1" applyFont="1" applyFill="1" applyBorder="1" applyAlignment="1" applyProtection="1">
      <alignment horizontal="center" vertical="center"/>
    </xf>
    <xf numFmtId="2" fontId="1" fillId="9" borderId="33" xfId="0" applyNumberFormat="1" applyFont="1" applyFill="1" applyBorder="1" applyAlignment="1" applyProtection="1">
      <alignment horizontal="center" vertical="center"/>
    </xf>
    <xf numFmtId="2" fontId="6" fillId="11" borderId="33" xfId="0" applyNumberFormat="1" applyFont="1" applyFill="1" applyBorder="1" applyAlignment="1" applyProtection="1">
      <alignment horizontal="center" vertical="center"/>
    </xf>
    <xf numFmtId="2" fontId="6" fillId="11" borderId="38" xfId="0" applyNumberFormat="1" applyFont="1" applyFill="1" applyBorder="1" applyAlignment="1" applyProtection="1">
      <alignment horizontal="center" vertical="center"/>
    </xf>
    <xf numFmtId="0" fontId="1" fillId="11" borderId="15" xfId="0" applyFont="1" applyFill="1" applyBorder="1" applyAlignment="1">
      <alignment vertical="center"/>
    </xf>
    <xf numFmtId="166" fontId="1" fillId="11" borderId="22" xfId="0" applyNumberFormat="1" applyFont="1" applyFill="1" applyBorder="1" applyAlignment="1">
      <alignment vertical="center"/>
    </xf>
    <xf numFmtId="0" fontId="6" fillId="11" borderId="10" xfId="0" applyFont="1" applyFill="1" applyBorder="1" applyAlignment="1">
      <alignment vertical="center"/>
    </xf>
    <xf numFmtId="0" fontId="1" fillId="11" borderId="12" xfId="0" quotePrefix="1" applyFont="1" applyFill="1" applyBorder="1" applyAlignment="1">
      <alignment horizontal="left" vertical="center"/>
    </xf>
    <xf numFmtId="0" fontId="1" fillId="11" borderId="16" xfId="0" applyFont="1" applyFill="1" applyBorder="1" applyAlignment="1">
      <alignment horizontal="left" vertical="center"/>
    </xf>
    <xf numFmtId="0" fontId="0" fillId="11" borderId="16" xfId="0" quotePrefix="1" applyFont="1" applyFill="1" applyBorder="1" applyAlignment="1">
      <alignment horizontal="left" vertical="center"/>
    </xf>
    <xf numFmtId="0" fontId="0" fillId="11" borderId="16" xfId="0" applyFont="1" applyFill="1" applyBorder="1" applyAlignment="1">
      <alignment horizontal="left" vertical="center"/>
    </xf>
    <xf numFmtId="0" fontId="6" fillId="11" borderId="16" xfId="0" applyFont="1" applyFill="1" applyBorder="1" applyAlignment="1">
      <alignment horizontal="left" vertical="center"/>
    </xf>
    <xf numFmtId="0" fontId="0" fillId="11" borderId="19" xfId="0" applyFont="1" applyFill="1" applyBorder="1" applyAlignment="1">
      <alignment horizontal="left" vertical="center"/>
    </xf>
    <xf numFmtId="0" fontId="1" fillId="11" borderId="30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166" fontId="6" fillId="11" borderId="7" xfId="0" applyNumberFormat="1" applyFont="1" applyFill="1" applyBorder="1" applyAlignment="1">
      <alignment vertical="center"/>
    </xf>
    <xf numFmtId="0" fontId="0" fillId="11" borderId="31" xfId="0" applyFont="1" applyFill="1" applyBorder="1" applyAlignment="1">
      <alignment vertical="center"/>
    </xf>
    <xf numFmtId="170" fontId="6" fillId="11" borderId="23" xfId="0" applyNumberFormat="1" applyFont="1" applyFill="1" applyBorder="1" applyAlignment="1">
      <alignment vertical="center"/>
    </xf>
    <xf numFmtId="0" fontId="24" fillId="0" borderId="0" xfId="0" applyFont="1"/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25" fillId="0" borderId="0" xfId="1"/>
    <xf numFmtId="0" fontId="26" fillId="19" borderId="28" xfId="1" quotePrefix="1" applyFont="1" applyFill="1" applyBorder="1" applyAlignment="1">
      <alignment horizontal="center" vertical="center"/>
    </xf>
    <xf numFmtId="0" fontId="1" fillId="11" borderId="37" xfId="0" applyFont="1" applyFill="1" applyBorder="1" applyAlignment="1">
      <alignment vertical="center"/>
    </xf>
    <xf numFmtId="166" fontId="23" fillId="12" borderId="36" xfId="0" applyNumberFormat="1" applyFont="1" applyFill="1" applyBorder="1" applyAlignment="1">
      <alignment horizontal="right" vertical="center"/>
    </xf>
    <xf numFmtId="166" fontId="8" fillId="12" borderId="21" xfId="0" applyNumberFormat="1" applyFont="1" applyFill="1" applyBorder="1" applyAlignment="1">
      <alignment vertical="center"/>
    </xf>
    <xf numFmtId="166" fontId="8" fillId="17" borderId="36" xfId="0" applyNumberFormat="1" applyFont="1" applyFill="1" applyBorder="1" applyAlignment="1">
      <alignment horizontal="right" vertical="center"/>
    </xf>
    <xf numFmtId="166" fontId="8" fillId="17" borderId="37" xfId="0" applyNumberFormat="1" applyFont="1" applyFill="1" applyBorder="1" applyAlignment="1">
      <alignment vertical="center"/>
    </xf>
    <xf numFmtId="180" fontId="20" fillId="17" borderId="37" xfId="0" applyNumberFormat="1" applyFont="1" applyFill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1" fillId="13" borderId="0" xfId="0" applyFont="1" applyFill="1" applyAlignment="1" applyProtection="1">
      <alignment horizontal="left" vertical="center"/>
      <protection locked="0"/>
    </xf>
    <xf numFmtId="2" fontId="0" fillId="18" borderId="33" xfId="0" applyNumberFormat="1" applyFont="1" applyFill="1" applyBorder="1" applyAlignment="1" applyProtection="1">
      <alignment horizontal="center" vertical="center"/>
    </xf>
    <xf numFmtId="2" fontId="1" fillId="18" borderId="38" xfId="0" applyNumberFormat="1" applyFont="1" applyFill="1" applyBorder="1" applyAlignment="1" applyProtection="1">
      <alignment horizontal="center" vertical="center"/>
    </xf>
    <xf numFmtId="2" fontId="0" fillId="17" borderId="33" xfId="0" applyNumberFormat="1" applyFont="1" applyFill="1" applyBorder="1" applyAlignment="1" applyProtection="1">
      <alignment horizontal="center" vertical="center"/>
    </xf>
    <xf numFmtId="2" fontId="1" fillId="17" borderId="38" xfId="0" applyNumberFormat="1" applyFont="1" applyFill="1" applyBorder="1" applyAlignment="1" applyProtection="1">
      <alignment horizontal="center" vertical="center"/>
    </xf>
    <xf numFmtId="2" fontId="6" fillId="10" borderId="33" xfId="0" applyNumberFormat="1" applyFont="1" applyFill="1" applyBorder="1" applyAlignment="1" applyProtection="1">
      <alignment horizontal="center" vertical="center"/>
    </xf>
    <xf numFmtId="2" fontId="6" fillId="10" borderId="38" xfId="0" applyNumberFormat="1" applyFont="1" applyFill="1" applyBorder="1" applyAlignment="1" applyProtection="1">
      <alignment horizontal="center" vertical="center"/>
    </xf>
    <xf numFmtId="2" fontId="6" fillId="16" borderId="33" xfId="0" applyNumberFormat="1" applyFont="1" applyFill="1" applyBorder="1" applyAlignment="1" applyProtection="1">
      <alignment horizontal="center" vertical="center"/>
    </xf>
    <xf numFmtId="2" fontId="1" fillId="16" borderId="38" xfId="0" applyNumberFormat="1" applyFont="1" applyFill="1" applyBorder="1" applyAlignment="1" applyProtection="1">
      <alignment horizontal="center" vertical="center"/>
    </xf>
    <xf numFmtId="2" fontId="0" fillId="8" borderId="1" xfId="0" applyNumberFormat="1" applyFont="1" applyFill="1" applyBorder="1" applyAlignment="1" applyProtection="1">
      <alignment horizontal="center" vertical="center"/>
    </xf>
    <xf numFmtId="2" fontId="1" fillId="8" borderId="3" xfId="0" applyNumberFormat="1" applyFont="1" applyFill="1" applyBorder="1" applyAlignment="1" applyProtection="1">
      <alignment horizontal="center" vertical="center"/>
    </xf>
    <xf numFmtId="2" fontId="6" fillId="18" borderId="33" xfId="0" applyNumberFormat="1" applyFont="1" applyFill="1" applyBorder="1" applyAlignment="1" applyProtection="1">
      <alignment horizontal="center" vertical="center"/>
    </xf>
    <xf numFmtId="0" fontId="2" fillId="15" borderId="45" xfId="0" applyFont="1" applyFill="1" applyBorder="1" applyAlignment="1" applyProtection="1">
      <alignment horizontal="center" vertical="center"/>
    </xf>
    <xf numFmtId="0" fontId="2" fillId="15" borderId="46" xfId="0" applyFont="1" applyFill="1" applyBorder="1" applyAlignment="1" applyProtection="1">
      <alignment horizontal="center" vertical="center"/>
    </xf>
    <xf numFmtId="0" fontId="2" fillId="15" borderId="17" xfId="0" applyFont="1" applyFill="1" applyBorder="1" applyAlignment="1" applyProtection="1">
      <alignment horizontal="center" vertical="center"/>
    </xf>
    <xf numFmtId="0" fontId="0" fillId="13" borderId="0" xfId="0" applyFill="1" applyBorder="1" applyAlignment="1" applyProtection="1">
      <alignment horizontal="left" vertical="center"/>
      <protection locked="0"/>
    </xf>
    <xf numFmtId="2" fontId="6" fillId="12" borderId="33" xfId="0" applyNumberFormat="1" applyFont="1" applyFill="1" applyBorder="1" applyAlignment="1" applyProtection="1">
      <alignment horizontal="center" vertical="center"/>
    </xf>
    <xf numFmtId="2" fontId="1" fillId="12" borderId="38" xfId="0" applyNumberFormat="1" applyFont="1" applyFill="1" applyBorder="1" applyAlignment="1" applyProtection="1">
      <alignment horizontal="center" vertical="center"/>
    </xf>
    <xf numFmtId="2" fontId="6" fillId="9" borderId="33" xfId="0" applyNumberFormat="1" applyFont="1" applyFill="1" applyBorder="1" applyAlignment="1" applyProtection="1">
      <alignment horizontal="center" vertical="center"/>
    </xf>
    <xf numFmtId="2" fontId="1" fillId="9" borderId="38" xfId="0" applyNumberFormat="1" applyFont="1" applyFill="1" applyBorder="1" applyAlignment="1" applyProtection="1">
      <alignment horizontal="center" vertical="center"/>
    </xf>
    <xf numFmtId="2" fontId="6" fillId="11" borderId="33" xfId="0" applyNumberFormat="1" applyFont="1" applyFill="1" applyBorder="1" applyAlignment="1" applyProtection="1">
      <alignment horizontal="center" vertical="center"/>
    </xf>
    <xf numFmtId="2" fontId="6" fillId="11" borderId="38" xfId="0" applyNumberFormat="1" applyFont="1" applyFill="1" applyBorder="1" applyAlignment="1" applyProtection="1">
      <alignment horizontal="center" vertical="center"/>
    </xf>
    <xf numFmtId="0" fontId="2" fillId="8" borderId="45" xfId="0" applyFont="1" applyFill="1" applyBorder="1" applyAlignment="1" applyProtection="1">
      <alignment horizontal="center" vertical="center"/>
    </xf>
    <xf numFmtId="0" fontId="2" fillId="8" borderId="46" xfId="0" applyFont="1" applyFill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9525</xdr:rowOff>
    </xdr:from>
    <xdr:to>
      <xdr:col>0</xdr:col>
      <xdr:colOff>1800225</xdr:colOff>
      <xdr:row>12</xdr:row>
      <xdr:rowOff>171449</xdr:rowOff>
    </xdr:to>
    <xdr:pic>
      <xdr:nvPicPr>
        <xdr:cNvPr id="15660" name="Picture 7" descr="Statikangaben_Bild1">
          <a:extLst>
            <a:ext uri="{FF2B5EF4-FFF2-40B4-BE49-F238E27FC236}">
              <a16:creationId xmlns="" xmlns:a16="http://schemas.microsoft.com/office/drawing/2014/main" id="{00000000-0008-0000-0000-00002C3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76325"/>
          <a:ext cx="1743075" cy="256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13</xdr:row>
      <xdr:rowOff>190500</xdr:rowOff>
    </xdr:from>
    <xdr:to>
      <xdr:col>0</xdr:col>
      <xdr:colOff>2219325</xdr:colOff>
      <xdr:row>22</xdr:row>
      <xdr:rowOff>9526</xdr:rowOff>
    </xdr:to>
    <xdr:pic>
      <xdr:nvPicPr>
        <xdr:cNvPr id="15661" name="Picture 8" descr="Statikangaben_Bild2">
          <a:extLst>
            <a:ext uri="{FF2B5EF4-FFF2-40B4-BE49-F238E27FC236}">
              <a16:creationId xmlns="" xmlns:a16="http://schemas.microsoft.com/office/drawing/2014/main" id="{00000000-0008-0000-0000-00002D3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24300"/>
          <a:ext cx="2162175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23</xdr:row>
      <xdr:rowOff>228600</xdr:rowOff>
    </xdr:from>
    <xdr:to>
      <xdr:col>0</xdr:col>
      <xdr:colOff>2209800</xdr:colOff>
      <xdr:row>56</xdr:row>
      <xdr:rowOff>19050</xdr:rowOff>
    </xdr:to>
    <xdr:pic>
      <xdr:nvPicPr>
        <xdr:cNvPr id="15662" name="Picture 11" descr="Statik_Schneefang">
          <a:extLst>
            <a:ext uri="{FF2B5EF4-FFF2-40B4-BE49-F238E27FC236}">
              <a16:creationId xmlns="" xmlns:a16="http://schemas.microsoft.com/office/drawing/2014/main" id="{00000000-0008-0000-0000-00002E3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29400"/>
          <a:ext cx="2162175" cy="219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26</xdr:row>
      <xdr:rowOff>28575</xdr:rowOff>
    </xdr:from>
    <xdr:to>
      <xdr:col>0</xdr:col>
      <xdr:colOff>2667000</xdr:colOff>
      <xdr:row>34</xdr:row>
      <xdr:rowOff>133350</xdr:rowOff>
    </xdr:to>
    <xdr:pic>
      <xdr:nvPicPr>
        <xdr:cNvPr id="12656" name="Grafik 1">
          <a:extLst>
            <a:ext uri="{FF2B5EF4-FFF2-40B4-BE49-F238E27FC236}">
              <a16:creationId xmlns="" xmlns:a16="http://schemas.microsoft.com/office/drawing/2014/main" id="{00000000-0008-0000-0100-0000703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467475"/>
          <a:ext cx="2343150" cy="2085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314325</xdr:colOff>
      <xdr:row>35</xdr:row>
      <xdr:rowOff>123825</xdr:rowOff>
    </xdr:from>
    <xdr:to>
      <xdr:col>0</xdr:col>
      <xdr:colOff>2733675</xdr:colOff>
      <xdr:row>43</xdr:row>
      <xdr:rowOff>228600</xdr:rowOff>
    </xdr:to>
    <xdr:pic>
      <xdr:nvPicPr>
        <xdr:cNvPr id="12657" name="Grafik 1">
          <a:extLst>
            <a:ext uri="{FF2B5EF4-FFF2-40B4-BE49-F238E27FC236}">
              <a16:creationId xmlns="" xmlns:a16="http://schemas.microsoft.com/office/drawing/2014/main" id="{00000000-0008-0000-0100-0000713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8791575"/>
          <a:ext cx="2419350" cy="2085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85725</xdr:rowOff>
    </xdr:from>
    <xdr:to>
      <xdr:col>0</xdr:col>
      <xdr:colOff>2638425</xdr:colOff>
      <xdr:row>10</xdr:row>
      <xdr:rowOff>0</xdr:rowOff>
    </xdr:to>
    <xdr:pic>
      <xdr:nvPicPr>
        <xdr:cNvPr id="16784" name="Grafik 1">
          <a:extLst>
            <a:ext uri="{FF2B5EF4-FFF2-40B4-BE49-F238E27FC236}">
              <a16:creationId xmlns="" xmlns:a16="http://schemas.microsoft.com/office/drawing/2014/main" id="{00000000-0008-0000-0300-000090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3375"/>
          <a:ext cx="2495550" cy="2143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12</xdr:row>
      <xdr:rowOff>38100</xdr:rowOff>
    </xdr:from>
    <xdr:to>
      <xdr:col>0</xdr:col>
      <xdr:colOff>2638425</xdr:colOff>
      <xdr:row>20</xdr:row>
      <xdr:rowOff>209550</xdr:rowOff>
    </xdr:to>
    <xdr:pic>
      <xdr:nvPicPr>
        <xdr:cNvPr id="16785" name="Grafik 2">
          <a:extLst>
            <a:ext uri="{FF2B5EF4-FFF2-40B4-BE49-F238E27FC236}">
              <a16:creationId xmlns="" xmlns:a16="http://schemas.microsoft.com/office/drawing/2014/main" id="{00000000-0008-0000-0300-000091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09900"/>
          <a:ext cx="2495550" cy="2152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23</xdr:row>
      <xdr:rowOff>19050</xdr:rowOff>
    </xdr:from>
    <xdr:to>
      <xdr:col>0</xdr:col>
      <xdr:colOff>2638425</xdr:colOff>
      <xdr:row>31</xdr:row>
      <xdr:rowOff>190500</xdr:rowOff>
    </xdr:to>
    <xdr:pic>
      <xdr:nvPicPr>
        <xdr:cNvPr id="16786" name="Grafik 3">
          <a:extLst>
            <a:ext uri="{FF2B5EF4-FFF2-40B4-BE49-F238E27FC236}">
              <a16:creationId xmlns="" xmlns:a16="http://schemas.microsoft.com/office/drawing/2014/main" id="{00000000-0008-0000-0300-000092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00"/>
          <a:ext cx="2495550" cy="2152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34</xdr:row>
      <xdr:rowOff>19050</xdr:rowOff>
    </xdr:from>
    <xdr:to>
      <xdr:col>0</xdr:col>
      <xdr:colOff>2647950</xdr:colOff>
      <xdr:row>42</xdr:row>
      <xdr:rowOff>190500</xdr:rowOff>
    </xdr:to>
    <xdr:pic>
      <xdr:nvPicPr>
        <xdr:cNvPr id="16787" name="Grafik 4">
          <a:extLst>
            <a:ext uri="{FF2B5EF4-FFF2-40B4-BE49-F238E27FC236}">
              <a16:creationId xmlns="" xmlns:a16="http://schemas.microsoft.com/office/drawing/2014/main" id="{00000000-0008-0000-0300-000093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439150"/>
          <a:ext cx="2505075" cy="21526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0"/>
  </sheetPr>
  <dimension ref="A3:N108"/>
  <sheetViews>
    <sheetView tabSelected="1" topLeftCell="A28" zoomScaleNormal="100" zoomScaleSheetLayoutView="100" workbookViewId="0">
      <selection activeCell="D7" sqref="D7"/>
    </sheetView>
  </sheetViews>
  <sheetFormatPr baseColWidth="10" defaultColWidth="11.453125" defaultRowHeight="12.5" x14ac:dyDescent="0.25"/>
  <cols>
    <col min="1" max="1" width="35.453125" style="7" customWidth="1"/>
    <col min="2" max="2" width="46.7265625" style="7" customWidth="1"/>
    <col min="3" max="3" width="2.54296875" style="7" customWidth="1"/>
    <col min="4" max="4" width="22.1796875" style="7" customWidth="1"/>
    <col min="5" max="5" width="6.26953125" style="7" customWidth="1"/>
    <col min="6" max="6" width="15.81640625" style="7" customWidth="1"/>
    <col min="7" max="7" width="18.54296875" style="7" hidden="1" customWidth="1"/>
    <col min="8" max="8" width="6.54296875" style="7" hidden="1" customWidth="1"/>
    <col min="9" max="9" width="12.81640625" style="7" hidden="1" customWidth="1"/>
    <col min="10" max="10" width="12.1796875" style="7" hidden="1" customWidth="1"/>
    <col min="11" max="12" width="11.453125" style="7" customWidth="1"/>
    <col min="13" max="16384" width="11.453125" style="7"/>
  </cols>
  <sheetData>
    <row r="3" spans="2:10" ht="13" thickBot="1" x14ac:dyDescent="0.3"/>
    <row r="4" spans="2:10" s="2" customFormat="1" ht="21" customHeight="1" thickBot="1" x14ac:dyDescent="0.3">
      <c r="B4" s="753" t="s">
        <v>541</v>
      </c>
      <c r="C4" s="754"/>
      <c r="D4" s="754"/>
      <c r="E4" s="754"/>
      <c r="F4" s="755"/>
      <c r="G4" s="104" t="s">
        <v>152</v>
      </c>
      <c r="H4" s="105"/>
      <c r="I4" s="105"/>
    </row>
    <row r="5" spans="2:10" s="4" customFormat="1" ht="21" customHeight="1" x14ac:dyDescent="0.25">
      <c r="B5" s="270"/>
      <c r="D5" s="273"/>
      <c r="G5" s="106" t="s">
        <v>1</v>
      </c>
      <c r="H5" s="106" t="s">
        <v>531</v>
      </c>
      <c r="I5" s="106" t="s">
        <v>126</v>
      </c>
    </row>
    <row r="6" spans="2:10" s="4" customFormat="1" ht="21" customHeight="1" x14ac:dyDescent="0.25">
      <c r="B6" s="271" t="s">
        <v>44</v>
      </c>
      <c r="D6" s="274"/>
      <c r="E6" s="28"/>
      <c r="F6" s="28"/>
      <c r="G6" s="700" t="s">
        <v>123</v>
      </c>
      <c r="H6" s="686">
        <f>0.19+0.91*((D16+140)/760)^2</f>
        <v>0.2807479224376731</v>
      </c>
      <c r="I6" s="686">
        <f>IF(H6&lt;0.65,0.65,H6)</f>
        <v>0.65</v>
      </c>
    </row>
    <row r="7" spans="2:10" s="4" customFormat="1" ht="21" customHeight="1" x14ac:dyDescent="0.25">
      <c r="B7" s="271" t="s">
        <v>45</v>
      </c>
      <c r="D7" s="274"/>
      <c r="E7" s="28"/>
      <c r="F7" s="28"/>
      <c r="G7" s="700" t="s">
        <v>124</v>
      </c>
      <c r="H7" s="686">
        <f>0.25+1.91*((D16+140)/760)^2</f>
        <v>0.44047091412742378</v>
      </c>
      <c r="I7" s="686">
        <f>IF(H7&lt;0.85,0.85,H7)</f>
        <v>0.85</v>
      </c>
    </row>
    <row r="8" spans="2:10" s="4" customFormat="1" ht="21" customHeight="1" thickBot="1" x14ac:dyDescent="0.3">
      <c r="D8" s="273"/>
      <c r="G8" s="700" t="s">
        <v>125</v>
      </c>
      <c r="H8" s="686">
        <f>0.31+2.91*((D16+140)/760)^2</f>
        <v>0.60019390581717458</v>
      </c>
      <c r="I8" s="686">
        <f>IF(H8&lt;1.1,1.1,H8)</f>
        <v>1.1000000000000001</v>
      </c>
    </row>
    <row r="9" spans="2:10" ht="21" customHeight="1" thickBot="1" x14ac:dyDescent="0.3">
      <c r="B9" s="753" t="s">
        <v>542</v>
      </c>
      <c r="C9" s="756"/>
      <c r="D9" s="756"/>
      <c r="E9" s="756"/>
      <c r="F9" s="757"/>
      <c r="G9" s="700" t="s">
        <v>2</v>
      </c>
      <c r="H9" s="686">
        <f>1.25*I6</f>
        <v>0.8125</v>
      </c>
      <c r="I9" s="686">
        <f>H9</f>
        <v>0.8125</v>
      </c>
    </row>
    <row r="10" spans="2:10" ht="21" customHeight="1" x14ac:dyDescent="0.25">
      <c r="B10" s="2"/>
      <c r="C10" s="2"/>
      <c r="D10" s="675"/>
      <c r="E10" s="2"/>
      <c r="F10" s="2"/>
      <c r="G10" s="700" t="s">
        <v>3</v>
      </c>
      <c r="H10" s="701">
        <f>1.25*I7</f>
        <v>1.0625</v>
      </c>
      <c r="I10" s="701">
        <f>H10</f>
        <v>1.0625</v>
      </c>
    </row>
    <row r="11" spans="2:10" s="4" customFormat="1" ht="21" customHeight="1" x14ac:dyDescent="0.25">
      <c r="B11" s="11" t="s">
        <v>25</v>
      </c>
      <c r="C11" s="713" t="s">
        <v>0</v>
      </c>
      <c r="D11" s="758" t="s">
        <v>36</v>
      </c>
      <c r="E11" s="758"/>
      <c r="F11" s="758"/>
      <c r="G11" s="718" t="s">
        <v>544</v>
      </c>
      <c r="H11" s="719">
        <f>I8*1.25</f>
        <v>1.375</v>
      </c>
      <c r="I11" s="719">
        <f>H11</f>
        <v>1.375</v>
      </c>
    </row>
    <row r="12" spans="2:10" s="4" customFormat="1" ht="21" customHeight="1" thickBot="1" x14ac:dyDescent="0.3">
      <c r="G12" s="2"/>
      <c r="H12" s="716" t="s">
        <v>156</v>
      </c>
      <c r="I12" s="717">
        <f>IF(D15="1",I6,IF(D15="2",I7,IF(D15="3",I8,IF(D15="1a",I9,IF(D15="2a",I10,IF(D15="3a",I11,0))))))</f>
        <v>1.375</v>
      </c>
    </row>
    <row r="13" spans="2:10" s="4" customFormat="1" ht="21" customHeight="1" thickBot="1" x14ac:dyDescent="0.3">
      <c r="B13" s="753" t="s">
        <v>100</v>
      </c>
      <c r="C13" s="756"/>
      <c r="D13" s="756"/>
      <c r="E13" s="756"/>
      <c r="F13" s="757"/>
    </row>
    <row r="14" spans="2:10" s="4" customFormat="1" ht="21" customHeight="1" x14ac:dyDescent="0.25">
      <c r="B14" s="689"/>
      <c r="C14" s="689"/>
      <c r="D14" s="690"/>
      <c r="E14" s="689"/>
      <c r="F14" s="689"/>
      <c r="J14" s="2"/>
    </row>
    <row r="15" spans="2:10" s="4" customFormat="1" ht="21" customHeight="1" x14ac:dyDescent="0.25">
      <c r="B15" s="15" t="s">
        <v>1</v>
      </c>
      <c r="C15" s="5" t="s">
        <v>0</v>
      </c>
      <c r="D15" s="665" t="s">
        <v>544</v>
      </c>
      <c r="E15" s="529"/>
      <c r="F15" s="529"/>
      <c r="J15" s="2"/>
    </row>
    <row r="16" spans="2:10" s="4" customFormat="1" ht="21" customHeight="1" x14ac:dyDescent="0.25">
      <c r="B16" s="11" t="s">
        <v>516</v>
      </c>
      <c r="C16" s="5" t="s">
        <v>0</v>
      </c>
      <c r="D16" s="664">
        <v>100</v>
      </c>
      <c r="E16" s="528"/>
      <c r="F16" s="528"/>
    </row>
    <row r="17" spans="2:14" s="4" customFormat="1" ht="21" customHeight="1" x14ac:dyDescent="0.25">
      <c r="B17" s="15" t="s">
        <v>48</v>
      </c>
      <c r="C17" s="5" t="s">
        <v>0</v>
      </c>
      <c r="D17" s="663" t="s">
        <v>50</v>
      </c>
      <c r="E17" s="528"/>
      <c r="F17" s="528"/>
      <c r="G17" s="273"/>
      <c r="H17" s="273"/>
      <c r="I17" s="273"/>
    </row>
    <row r="18" spans="2:14" s="4" customFormat="1" ht="21" customHeight="1" x14ac:dyDescent="0.25">
      <c r="B18" s="11" t="s">
        <v>517</v>
      </c>
      <c r="C18" s="5" t="s">
        <v>0</v>
      </c>
      <c r="D18" s="275">
        <v>10</v>
      </c>
      <c r="E18" s="528"/>
      <c r="F18" s="528"/>
    </row>
    <row r="19" spans="2:14" s="4" customFormat="1" ht="21" customHeight="1" x14ac:dyDescent="0.25">
      <c r="B19" s="11" t="s">
        <v>518</v>
      </c>
      <c r="C19" s="5" t="s">
        <v>0</v>
      </c>
      <c r="D19" s="276">
        <v>3.5</v>
      </c>
      <c r="E19" s="528"/>
      <c r="F19" s="528"/>
    </row>
    <row r="20" spans="2:14" s="4" customFormat="1" ht="21" hidden="1" customHeight="1" x14ac:dyDescent="0.25">
      <c r="B20" s="11" t="s">
        <v>528</v>
      </c>
      <c r="C20" s="5" t="s">
        <v>0</v>
      </c>
      <c r="D20" s="663" t="s">
        <v>49</v>
      </c>
      <c r="E20" s="711"/>
      <c r="F20" s="528"/>
      <c r="G20" s="11" t="s">
        <v>519</v>
      </c>
      <c r="H20" s="5" t="s">
        <v>0</v>
      </c>
      <c r="I20" s="276">
        <f>IF(OR(_x&lt;=15,D27="vorhanden",D23="Dach an der Giebelseite",D23="Dach an ein Flachdach"),0,_bs)</f>
        <v>4.5</v>
      </c>
    </row>
    <row r="21" spans="2:14" s="4" customFormat="1" ht="21" customHeight="1" x14ac:dyDescent="0.25">
      <c r="E21" s="528"/>
      <c r="F21" s="712"/>
      <c r="G21" s="11"/>
      <c r="H21" s="5"/>
    </row>
    <row r="22" spans="2:14" s="4" customFormat="1" ht="21" customHeight="1" x14ac:dyDescent="0.25">
      <c r="B22" s="272" t="s">
        <v>159</v>
      </c>
      <c r="C22" s="5" t="s">
        <v>0</v>
      </c>
      <c r="D22" s="687">
        <v>0.3</v>
      </c>
      <c r="E22" s="528"/>
      <c r="F22" s="528"/>
    </row>
    <row r="23" spans="2:14" s="4" customFormat="1" ht="21" customHeight="1" x14ac:dyDescent="0.25">
      <c r="B23" s="11" t="s">
        <v>510</v>
      </c>
      <c r="C23" s="5" t="s">
        <v>0</v>
      </c>
      <c r="D23" s="676" t="s">
        <v>508</v>
      </c>
      <c r="E23" s="528"/>
      <c r="F23" s="528"/>
    </row>
    <row r="24" spans="2:14" s="4" customFormat="1" ht="21" customHeight="1" x14ac:dyDescent="0.25">
      <c r="B24" s="270" t="s">
        <v>162</v>
      </c>
      <c r="C24" s="5" t="s">
        <v>0</v>
      </c>
      <c r="D24" s="489">
        <v>9</v>
      </c>
      <c r="E24" s="528"/>
      <c r="F24" s="528"/>
      <c r="G24" s="528"/>
      <c r="H24" s="528"/>
      <c r="I24" s="528"/>
    </row>
    <row r="25" spans="2:14" s="4" customFormat="1" ht="21" customHeight="1" x14ac:dyDescent="0.25">
      <c r="B25" s="270" t="s">
        <v>160</v>
      </c>
      <c r="C25" s="5" t="s">
        <v>0</v>
      </c>
      <c r="D25" s="489">
        <v>4.5</v>
      </c>
      <c r="E25" s="528"/>
      <c r="F25" s="528"/>
    </row>
    <row r="26" spans="2:14" s="4" customFormat="1" ht="21" customHeight="1" x14ac:dyDescent="0.25">
      <c r="B26" s="11" t="s">
        <v>161</v>
      </c>
      <c r="C26" s="5" t="s">
        <v>0</v>
      </c>
      <c r="D26" s="277">
        <v>38</v>
      </c>
      <c r="E26" s="528"/>
      <c r="F26" s="528"/>
    </row>
    <row r="27" spans="2:14" s="4" customFormat="1" ht="21" customHeight="1" x14ac:dyDescent="0.25">
      <c r="B27" s="11" t="s">
        <v>540</v>
      </c>
      <c r="C27" s="5" t="s">
        <v>0</v>
      </c>
      <c r="D27" s="673" t="s">
        <v>98</v>
      </c>
      <c r="E27" s="528"/>
      <c r="F27" s="528"/>
      <c r="G27" s="89"/>
      <c r="H27" s="89"/>
      <c r="I27" s="89"/>
    </row>
    <row r="28" spans="2:14" s="4" customFormat="1" ht="21" customHeight="1" thickBot="1" x14ac:dyDescent="0.3">
      <c r="E28" s="528"/>
      <c r="F28" s="528"/>
      <c r="G28" s="101"/>
      <c r="H28" s="101"/>
      <c r="I28" s="101"/>
    </row>
    <row r="29" spans="2:14" s="4" customFormat="1" ht="21" hidden="1" customHeight="1" x14ac:dyDescent="0.25">
      <c r="B29" s="270" t="s">
        <v>520</v>
      </c>
      <c r="C29" s="5" t="s">
        <v>0</v>
      </c>
      <c r="D29" s="469">
        <f>sk</f>
        <v>1.375</v>
      </c>
      <c r="J29" s="15"/>
    </row>
    <row r="30" spans="2:14" s="4" customFormat="1" ht="21" hidden="1" customHeight="1" x14ac:dyDescent="0.25">
      <c r="B30" s="691" t="s">
        <v>153</v>
      </c>
      <c r="C30" s="5" t="s">
        <v>0</v>
      </c>
      <c r="D30" s="112">
        <f>IF(D18&lt;30,0.8,IF(D18&gt;60,0,0.8*(60-D18)/30))</f>
        <v>0.8</v>
      </c>
    </row>
    <row r="31" spans="2:14" s="4" customFormat="1" ht="21" hidden="1" customHeight="1" x14ac:dyDescent="0.25">
      <c r="B31" s="310" t="s">
        <v>521</v>
      </c>
      <c r="C31" s="692" t="s">
        <v>0</v>
      </c>
      <c r="D31" s="693">
        <f>IF(2*_h&lt;5,5,IF(2*_h&gt;15,15,2*_h))</f>
        <v>5</v>
      </c>
      <c r="J31" s="6"/>
      <c r="K31" s="89"/>
      <c r="L31" s="89"/>
      <c r="M31" s="89"/>
      <c r="N31" s="89"/>
    </row>
    <row r="32" spans="2:14" s="4" customFormat="1" ht="21" hidden="1" customHeight="1" x14ac:dyDescent="0.25">
      <c r="B32" s="694" t="s">
        <v>154</v>
      </c>
      <c r="C32" s="692" t="s">
        <v>0</v>
      </c>
      <c r="D32" s="112">
        <f>0.8*I20/ls</f>
        <v>0.72</v>
      </c>
      <c r="H32" s="103"/>
      <c r="I32" s="103"/>
      <c r="K32" s="89"/>
      <c r="L32" s="89"/>
      <c r="M32" s="89"/>
      <c r="N32" s="89"/>
    </row>
    <row r="33" spans="1:14" s="4" customFormat="1" ht="21" hidden="1" customHeight="1" x14ac:dyDescent="0.25">
      <c r="B33" s="694" t="s">
        <v>155</v>
      </c>
      <c r="C33" s="692" t="s">
        <v>0</v>
      </c>
      <c r="D33" s="112">
        <f>IF(_h&lt;=0.5,0,(_b1+_b2)/(2*_h))</f>
        <v>0</v>
      </c>
      <c r="H33" s="103"/>
      <c r="I33" s="103"/>
      <c r="K33" s="89"/>
      <c r="L33" s="89"/>
      <c r="M33" s="89"/>
      <c r="N33" s="89"/>
    </row>
    <row r="34" spans="1:14" s="4" customFormat="1" ht="21" hidden="1" customHeight="1" x14ac:dyDescent="0.25">
      <c r="B34" s="694" t="s">
        <v>523</v>
      </c>
      <c r="C34" s="692" t="s">
        <v>0</v>
      </c>
      <c r="D34" s="112">
        <f>IF(_h&lt;=0.5,D30+D32,D33+D32)</f>
        <v>1.52</v>
      </c>
      <c r="H34" s="101"/>
      <c r="I34" s="101"/>
      <c r="K34" s="89"/>
      <c r="L34" s="89"/>
      <c r="M34" s="89"/>
      <c r="N34" s="89"/>
    </row>
    <row r="35" spans="1:14" s="4" customFormat="1" ht="21" hidden="1" customHeight="1" x14ac:dyDescent="0.25">
      <c r="B35" s="694" t="s">
        <v>524</v>
      </c>
      <c r="C35" s="692" t="s">
        <v>0</v>
      </c>
      <c r="D35" s="112">
        <f>IF(AND(_b2&lt;=3,D20="ja"),2,2.4)</f>
        <v>2.4</v>
      </c>
      <c r="H35" s="101"/>
      <c r="I35" s="101"/>
      <c r="K35" s="89"/>
      <c r="L35" s="89"/>
      <c r="M35" s="89"/>
      <c r="N35" s="89"/>
    </row>
    <row r="36" spans="1:14" s="4" customFormat="1" ht="21" hidden="1" customHeight="1" x14ac:dyDescent="0.25">
      <c r="B36" s="694" t="s">
        <v>525</v>
      </c>
      <c r="C36" s="692" t="s">
        <v>0</v>
      </c>
      <c r="D36" s="112">
        <f>2*_h/D29</f>
        <v>0.43636363636363634</v>
      </c>
      <c r="K36" s="89"/>
      <c r="L36" s="99"/>
      <c r="M36" s="89"/>
      <c r="N36" s="89"/>
    </row>
    <row r="37" spans="1:14" s="4" customFormat="1" ht="21" hidden="1" customHeight="1" x14ac:dyDescent="0.25">
      <c r="A37" s="528"/>
      <c r="B37" s="694" t="s">
        <v>526</v>
      </c>
      <c r="C37" s="692" t="s">
        <v>0</v>
      </c>
      <c r="D37" s="112">
        <f>D30+1.6*_b1/ls</f>
        <v>3.6799999999999997</v>
      </c>
      <c r="G37" s="528"/>
      <c r="H37" s="528"/>
      <c r="I37" s="528"/>
      <c r="J37" s="528"/>
      <c r="K37" s="89"/>
      <c r="L37" s="89"/>
      <c r="M37" s="89"/>
      <c r="N37" s="89"/>
    </row>
    <row r="38" spans="1:14" s="4" customFormat="1" ht="21" hidden="1" customHeight="1" x14ac:dyDescent="0.25">
      <c r="A38" s="528"/>
      <c r="B38" s="694" t="s">
        <v>527</v>
      </c>
      <c r="C38" s="692" t="s">
        <v>0</v>
      </c>
      <c r="D38" s="112">
        <f>MIN(D34,D35,D36,D37)</f>
        <v>0.43636363636363634</v>
      </c>
      <c r="G38" s="528"/>
      <c r="H38" s="528"/>
      <c r="I38" s="528"/>
      <c r="J38" s="528"/>
      <c r="K38" s="89"/>
      <c r="L38" s="89"/>
      <c r="M38" s="89"/>
      <c r="N38" s="89"/>
    </row>
    <row r="39" spans="1:14" s="4" customFormat="1" ht="21" hidden="1" customHeight="1" x14ac:dyDescent="0.25">
      <c r="A39" s="528"/>
      <c r="B39" s="688" t="s">
        <v>522</v>
      </c>
      <c r="C39" s="692" t="s">
        <v>0</v>
      </c>
      <c r="D39" s="112">
        <f>IF(D33+D32=0,D30,MAX(0.8,D38))</f>
        <v>0.8</v>
      </c>
      <c r="G39" s="528"/>
      <c r="H39" s="528"/>
      <c r="I39" s="528"/>
      <c r="J39" s="528"/>
      <c r="K39" s="89"/>
      <c r="L39" s="89"/>
      <c r="M39" s="89"/>
      <c r="N39" s="89"/>
    </row>
    <row r="40" spans="1:14" s="4" customFormat="1" ht="21" hidden="1" customHeight="1" x14ac:dyDescent="0.25">
      <c r="A40" s="528"/>
      <c r="G40" s="528"/>
      <c r="H40" s="528"/>
      <c r="I40" s="528"/>
      <c r="J40" s="528"/>
      <c r="K40" s="89"/>
      <c r="L40" s="89"/>
      <c r="M40" s="89"/>
      <c r="N40" s="89"/>
    </row>
    <row r="41" spans="1:14" s="4" customFormat="1" ht="21" hidden="1" customHeight="1" x14ac:dyDescent="0.25">
      <c r="A41" s="528"/>
      <c r="B41" s="2" t="s">
        <v>532</v>
      </c>
      <c r="E41" s="528"/>
      <c r="F41" s="528"/>
      <c r="J41" s="528"/>
      <c r="K41" s="89"/>
      <c r="L41" s="89"/>
      <c r="M41" s="89"/>
      <c r="N41" s="89"/>
    </row>
    <row r="42" spans="1:14" s="4" customFormat="1" ht="21" hidden="1" customHeight="1" x14ac:dyDescent="0.25">
      <c r="A42" s="528"/>
      <c r="B42" s="694" t="s">
        <v>529</v>
      </c>
      <c r="C42" s="692" t="s">
        <v>0</v>
      </c>
      <c r="D42" s="469">
        <f>D29*D30</f>
        <v>1.1000000000000001</v>
      </c>
      <c r="E42" s="528"/>
      <c r="F42" s="528"/>
      <c r="J42" s="528"/>
      <c r="K42" s="89"/>
      <c r="L42" s="89"/>
      <c r="M42" s="89"/>
      <c r="N42" s="89"/>
    </row>
    <row r="43" spans="1:14" s="4" customFormat="1" ht="21" hidden="1" customHeight="1" x14ac:dyDescent="0.25">
      <c r="A43" s="528"/>
      <c r="B43" s="695" t="s">
        <v>157</v>
      </c>
      <c r="C43" s="692" t="s">
        <v>0</v>
      </c>
      <c r="D43" s="469">
        <f>D29*D39</f>
        <v>1.1000000000000001</v>
      </c>
      <c r="E43" s="528"/>
      <c r="F43" s="528"/>
      <c r="J43" s="528"/>
      <c r="K43" s="89"/>
      <c r="L43" s="89"/>
      <c r="M43" s="89"/>
      <c r="N43" s="89"/>
    </row>
    <row r="44" spans="1:14" s="4" customFormat="1" ht="21" hidden="1" customHeight="1" thickBot="1" x14ac:dyDescent="0.3">
      <c r="A44" s="528"/>
      <c r="B44" s="695" t="s">
        <v>158</v>
      </c>
      <c r="C44" s="692" t="s">
        <v>0</v>
      </c>
      <c r="D44" s="469">
        <f>MAX(D42,D42+(D43-D42)*(ls-_b2)/ls)</f>
        <v>1.1000000000000001</v>
      </c>
      <c r="E44" s="528"/>
      <c r="F44" s="528"/>
      <c r="J44" s="528"/>
      <c r="K44" s="89"/>
      <c r="L44" s="100"/>
      <c r="M44" s="89"/>
      <c r="N44" s="89"/>
    </row>
    <row r="45" spans="1:14" s="4" customFormat="1" ht="21" hidden="1" customHeight="1" thickBot="1" x14ac:dyDescent="0.3">
      <c r="A45" s="528"/>
      <c r="B45" s="696" t="s">
        <v>530</v>
      </c>
      <c r="C45" s="697" t="s">
        <v>0</v>
      </c>
      <c r="D45" s="698">
        <f>IF(_b2&lt;ls,(D43+D44)/2,D44+(D43-D44)*ls/(2*_b2))</f>
        <v>1.1000000000000001</v>
      </c>
      <c r="H45" s="528"/>
      <c r="I45" s="528"/>
      <c r="J45" s="528"/>
      <c r="K45" s="89"/>
      <c r="L45" s="100"/>
      <c r="M45" s="89"/>
      <c r="N45" s="89"/>
    </row>
    <row r="46" spans="1:14" s="4" customFormat="1" ht="21" hidden="1" customHeight="1" x14ac:dyDescent="0.25">
      <c r="A46" s="528"/>
      <c r="G46" s="103"/>
      <c r="H46" s="528"/>
      <c r="I46" s="528"/>
      <c r="J46" s="528"/>
      <c r="K46" s="89"/>
      <c r="L46" s="89"/>
      <c r="M46" s="89"/>
      <c r="N46" s="89"/>
    </row>
    <row r="47" spans="1:14" s="4" customFormat="1" ht="21" hidden="1" customHeight="1" x14ac:dyDescent="0.25">
      <c r="A47" s="528"/>
      <c r="B47" s="2" t="s">
        <v>533</v>
      </c>
      <c r="G47" s="103"/>
      <c r="H47" s="528"/>
      <c r="I47" s="528"/>
      <c r="J47" s="528"/>
      <c r="K47" s="89"/>
      <c r="L47" s="89"/>
      <c r="M47" s="89"/>
      <c r="N47" s="89"/>
    </row>
    <row r="48" spans="1:14" s="4" customFormat="1" ht="21" hidden="1" customHeight="1" x14ac:dyDescent="0.25">
      <c r="A48" s="528"/>
      <c r="B48" s="694" t="s">
        <v>534</v>
      </c>
      <c r="C48" s="692" t="s">
        <v>0</v>
      </c>
      <c r="D48" s="469">
        <f>2.3*D42</f>
        <v>2.5299999999999998</v>
      </c>
      <c r="E48" s="101"/>
      <c r="F48" s="101"/>
      <c r="G48" s="101"/>
      <c r="H48" s="529"/>
      <c r="I48" s="529"/>
      <c r="J48" s="528"/>
      <c r="K48" s="89"/>
      <c r="L48" s="89"/>
      <c r="M48" s="89"/>
      <c r="N48" s="89"/>
    </row>
    <row r="49" spans="1:14" s="4" customFormat="1" ht="21" hidden="1" customHeight="1" x14ac:dyDescent="0.25">
      <c r="A49" s="528"/>
      <c r="B49" s="694" t="s">
        <v>535</v>
      </c>
      <c r="C49" s="692" t="s">
        <v>0</v>
      </c>
      <c r="D49" s="469">
        <f>IF((2.3*D43)&lt;=(4*D29),2.3*D43,4*D29)</f>
        <v>2.5299999999999998</v>
      </c>
      <c r="E49" s="101"/>
      <c r="F49" s="101"/>
      <c r="G49" s="101"/>
      <c r="H49" s="529"/>
      <c r="I49" s="529"/>
      <c r="J49" s="528"/>
      <c r="K49" s="89"/>
      <c r="L49" s="89"/>
      <c r="M49" s="89"/>
      <c r="N49" s="89"/>
    </row>
    <row r="50" spans="1:14" s="4" customFormat="1" ht="21" hidden="1" customHeight="1" thickBot="1" x14ac:dyDescent="0.3">
      <c r="A50" s="528"/>
      <c r="B50" s="694" t="s">
        <v>536</v>
      </c>
      <c r="C50" s="692" t="s">
        <v>0</v>
      </c>
      <c r="D50" s="469">
        <f>MAX(D48,D48+(D49-D48)*(ls-_b2)/ls)</f>
        <v>2.5299999999999998</v>
      </c>
      <c r="E50" s="101"/>
      <c r="F50" s="101"/>
      <c r="G50" s="530"/>
      <c r="H50" s="530"/>
      <c r="I50" s="530"/>
      <c r="J50" s="528"/>
      <c r="K50" s="89"/>
      <c r="L50" s="89"/>
      <c r="M50" s="89"/>
      <c r="N50" s="89"/>
    </row>
    <row r="51" spans="1:14" s="4" customFormat="1" ht="21" hidden="1" customHeight="1" thickBot="1" x14ac:dyDescent="0.3">
      <c r="A51" s="528"/>
      <c r="B51" s="696" t="s">
        <v>537</v>
      </c>
      <c r="C51" s="697" t="s">
        <v>0</v>
      </c>
      <c r="D51" s="698">
        <f>IF(_b2&lt;=ls,(D49+D50)/2,D50+(D49-D50)*ls/(2*_b2))</f>
        <v>2.5299999999999998</v>
      </c>
      <c r="E51" s="101"/>
      <c r="F51" s="101"/>
      <c r="G51" s="529"/>
      <c r="H51" s="529"/>
      <c r="I51" s="529"/>
      <c r="J51" s="528"/>
      <c r="K51" s="89"/>
      <c r="L51" s="89"/>
      <c r="M51" s="89"/>
      <c r="N51" s="89"/>
    </row>
    <row r="52" spans="1:14" s="4" customFormat="1" ht="21" hidden="1" customHeight="1" thickBot="1" x14ac:dyDescent="0.3">
      <c r="A52" s="528"/>
      <c r="B52" s="311"/>
      <c r="C52" s="102"/>
      <c r="D52" s="699"/>
      <c r="E52" s="101"/>
      <c r="F52" s="101"/>
      <c r="G52" s="529"/>
      <c r="H52" s="529"/>
      <c r="I52" s="529"/>
      <c r="J52" s="528"/>
      <c r="K52" s="89"/>
      <c r="L52" s="89"/>
      <c r="M52" s="89"/>
      <c r="N52" s="89"/>
    </row>
    <row r="53" spans="1:14" s="4" customFormat="1" ht="21" customHeight="1" thickBot="1" x14ac:dyDescent="0.3">
      <c r="A53" s="528"/>
      <c r="B53" s="702" t="s">
        <v>538</v>
      </c>
      <c r="C53" s="703" t="s">
        <v>0</v>
      </c>
      <c r="D53" s="715">
        <f>IF(D56="",IF(_h&gt;0.5,D45*0.9,D45),D56)</f>
        <v>1.1000000000000001</v>
      </c>
      <c r="E53" s="704"/>
      <c r="F53" s="705"/>
      <c r="G53" s="529"/>
      <c r="H53" s="529"/>
      <c r="I53" s="529"/>
      <c r="J53" s="528"/>
      <c r="K53" s="89"/>
      <c r="L53" s="90"/>
      <c r="M53" s="658"/>
      <c r="N53" s="89"/>
    </row>
    <row r="54" spans="1:14" ht="21" customHeight="1" thickBot="1" x14ac:dyDescent="0.3">
      <c r="A54" s="531"/>
      <c r="B54" s="706" t="s">
        <v>539</v>
      </c>
      <c r="C54" s="707" t="s">
        <v>0</v>
      </c>
      <c r="D54" s="708" t="str">
        <f>IF(D17="ja",D51*0.9,"nur erforderlich für Norddeutsches Tiefland")</f>
        <v>nur erforderlich für Norddeutsches Tiefland</v>
      </c>
      <c r="E54" s="709"/>
      <c r="F54" s="710"/>
      <c r="G54" s="531"/>
      <c r="H54" s="531"/>
      <c r="I54" s="531"/>
      <c r="J54" s="531"/>
    </row>
    <row r="55" spans="1:14" ht="21" customHeight="1" x14ac:dyDescent="0.25">
      <c r="A55" s="531"/>
      <c r="B55" s="531"/>
      <c r="C55" s="531"/>
      <c r="D55" s="531"/>
      <c r="E55" s="531"/>
      <c r="F55" s="531"/>
      <c r="G55" s="531"/>
      <c r="H55" s="531"/>
      <c r="I55" s="531"/>
      <c r="J55" s="531"/>
    </row>
    <row r="56" spans="1:14" ht="21" customHeight="1" x14ac:dyDescent="0.25">
      <c r="A56" s="531"/>
      <c r="B56" s="11" t="s">
        <v>543</v>
      </c>
      <c r="C56" s="713" t="s">
        <v>0</v>
      </c>
      <c r="D56" s="714"/>
      <c r="E56" s="531"/>
      <c r="F56" s="531"/>
      <c r="G56" s="531"/>
      <c r="H56" s="531"/>
      <c r="I56" s="531"/>
      <c r="J56" s="531"/>
    </row>
    <row r="57" spans="1:14" ht="21" customHeight="1" x14ac:dyDescent="0.25">
      <c r="A57" s="531"/>
      <c r="B57" s="531"/>
      <c r="C57" s="531"/>
      <c r="D57" s="531"/>
      <c r="E57" s="531"/>
      <c r="F57" s="531"/>
      <c r="G57" s="531"/>
      <c r="H57" s="531"/>
      <c r="I57" s="531"/>
      <c r="J57" s="531"/>
    </row>
    <row r="58" spans="1:14" ht="21" customHeight="1" x14ac:dyDescent="0.25">
      <c r="A58" s="531"/>
      <c r="B58" s="531"/>
      <c r="C58" s="531"/>
      <c r="D58" s="531"/>
      <c r="E58" s="531"/>
      <c r="F58" s="531"/>
      <c r="G58" s="531"/>
      <c r="H58" s="531"/>
      <c r="I58" s="531"/>
      <c r="J58" s="531"/>
    </row>
    <row r="59" spans="1:14" ht="21" customHeight="1" x14ac:dyDescent="0.25">
      <c r="A59" s="531"/>
      <c r="B59" s="531"/>
      <c r="C59" s="531"/>
      <c r="D59" s="531"/>
      <c r="E59" s="531"/>
      <c r="F59" s="531"/>
      <c r="G59" s="531"/>
      <c r="H59" s="531"/>
      <c r="I59" s="531"/>
      <c r="J59" s="531"/>
    </row>
    <row r="60" spans="1:14" ht="21" customHeight="1" x14ac:dyDescent="0.25">
      <c r="A60" s="531"/>
      <c r="B60" s="531"/>
      <c r="C60" s="531"/>
      <c r="D60" s="531"/>
      <c r="E60" s="531"/>
      <c r="F60" s="531"/>
      <c r="G60" s="531"/>
      <c r="H60" s="531"/>
      <c r="I60" s="531"/>
      <c r="J60" s="531"/>
    </row>
    <row r="61" spans="1:14" ht="21" customHeight="1" x14ac:dyDescent="0.25">
      <c r="A61" s="531"/>
      <c r="B61" s="531"/>
      <c r="C61" s="531"/>
      <c r="D61" s="531"/>
      <c r="E61" s="531"/>
      <c r="F61" s="531"/>
      <c r="G61" s="531"/>
      <c r="H61" s="531"/>
      <c r="I61" s="531"/>
      <c r="J61" s="531"/>
    </row>
    <row r="62" spans="1:14" ht="21" customHeight="1" x14ac:dyDescent="0.25">
      <c r="A62" s="531"/>
      <c r="B62" s="531"/>
      <c r="C62" s="531"/>
      <c r="D62" s="531"/>
      <c r="E62" s="531"/>
      <c r="F62" s="531"/>
      <c r="G62" s="531"/>
      <c r="H62" s="531"/>
      <c r="I62" s="531"/>
      <c r="J62" s="531"/>
    </row>
    <row r="63" spans="1:14" ht="21" customHeight="1" x14ac:dyDescent="0.25">
      <c r="A63" s="531"/>
      <c r="B63" s="531"/>
      <c r="C63" s="531"/>
      <c r="D63" s="531"/>
      <c r="E63" s="531"/>
      <c r="F63" s="531"/>
      <c r="G63" s="531"/>
      <c r="H63" s="531"/>
      <c r="I63" s="531"/>
      <c r="J63" s="531"/>
    </row>
    <row r="64" spans="1:14" ht="21" customHeight="1" x14ac:dyDescent="0.25">
      <c r="A64" s="531"/>
      <c r="B64" s="531"/>
      <c r="C64" s="531"/>
      <c r="D64" s="531"/>
      <c r="E64" s="531"/>
      <c r="F64" s="531"/>
      <c r="G64" s="531"/>
      <c r="H64" s="531"/>
      <c r="I64" s="531"/>
      <c r="J64" s="531"/>
    </row>
    <row r="65" spans="1:10" ht="21" customHeight="1" x14ac:dyDescent="0.25">
      <c r="A65" s="531"/>
      <c r="B65" s="531"/>
      <c r="C65" s="531"/>
      <c r="D65" s="531"/>
      <c r="E65" s="531"/>
      <c r="F65" s="531"/>
      <c r="G65" s="531"/>
      <c r="H65" s="531"/>
      <c r="I65" s="531"/>
      <c r="J65" s="531"/>
    </row>
    <row r="66" spans="1:10" ht="21" customHeight="1" x14ac:dyDescent="0.25">
      <c r="A66" s="531"/>
      <c r="B66" s="531"/>
      <c r="C66" s="531"/>
      <c r="D66" s="531"/>
      <c r="E66" s="531"/>
      <c r="F66" s="531"/>
      <c r="G66" s="531"/>
      <c r="H66" s="531"/>
      <c r="I66" s="531"/>
      <c r="J66" s="531"/>
    </row>
    <row r="67" spans="1:10" ht="21" customHeight="1" x14ac:dyDescent="0.25">
      <c r="A67" s="531"/>
      <c r="B67" s="531"/>
      <c r="C67" s="531"/>
      <c r="D67" s="531"/>
      <c r="E67" s="531"/>
      <c r="F67" s="531"/>
      <c r="G67" s="531"/>
      <c r="H67" s="531"/>
      <c r="I67" s="531"/>
      <c r="J67" s="531"/>
    </row>
    <row r="68" spans="1:10" ht="21" customHeight="1" x14ac:dyDescent="0.25">
      <c r="A68" s="531"/>
      <c r="B68" s="531"/>
      <c r="C68" s="531"/>
      <c r="D68" s="531"/>
      <c r="E68" s="531"/>
      <c r="F68" s="531"/>
      <c r="G68" s="531"/>
      <c r="H68" s="531"/>
      <c r="I68" s="531"/>
      <c r="J68" s="531"/>
    </row>
    <row r="69" spans="1:10" ht="21" customHeight="1" x14ac:dyDescent="0.25">
      <c r="A69" s="531"/>
      <c r="B69" s="531"/>
      <c r="C69" s="531"/>
      <c r="D69" s="531"/>
      <c r="E69" s="531"/>
      <c r="F69" s="531"/>
      <c r="G69" s="531"/>
      <c r="H69" s="531"/>
      <c r="I69" s="531"/>
      <c r="J69" s="531"/>
    </row>
    <row r="70" spans="1:10" ht="21" customHeight="1" x14ac:dyDescent="0.25">
      <c r="A70" s="531"/>
      <c r="B70" s="531"/>
      <c r="C70" s="531"/>
      <c r="D70" s="531"/>
      <c r="E70" s="531"/>
      <c r="F70" s="531"/>
      <c r="G70" s="531"/>
      <c r="H70" s="531"/>
      <c r="I70" s="531"/>
      <c r="J70" s="531"/>
    </row>
    <row r="71" spans="1:10" ht="21" customHeight="1" x14ac:dyDescent="0.25">
      <c r="A71" s="531"/>
      <c r="B71" s="531"/>
      <c r="C71" s="531"/>
      <c r="D71" s="531"/>
      <c r="E71" s="531"/>
      <c r="F71" s="531"/>
      <c r="G71" s="531"/>
      <c r="H71" s="531"/>
      <c r="I71" s="531"/>
      <c r="J71" s="531"/>
    </row>
    <row r="72" spans="1:10" ht="21" customHeight="1" x14ac:dyDescent="0.25">
      <c r="A72" s="531"/>
      <c r="B72" s="531"/>
      <c r="C72" s="531"/>
      <c r="D72" s="531"/>
      <c r="E72" s="531"/>
      <c r="F72" s="531"/>
      <c r="G72" s="531"/>
      <c r="H72" s="531"/>
      <c r="I72" s="531"/>
      <c r="J72" s="531"/>
    </row>
    <row r="73" spans="1:10" ht="21" customHeight="1" x14ac:dyDescent="0.25">
      <c r="A73" s="531"/>
      <c r="B73" s="531"/>
      <c r="C73" s="531"/>
      <c r="D73" s="531"/>
      <c r="E73" s="531"/>
      <c r="F73" s="531"/>
      <c r="G73" s="531"/>
      <c r="H73" s="531"/>
      <c r="I73" s="531"/>
      <c r="J73" s="531"/>
    </row>
    <row r="74" spans="1:10" ht="21" customHeight="1" x14ac:dyDescent="0.25">
      <c r="A74" s="531"/>
      <c r="B74" s="531"/>
      <c r="C74" s="531"/>
      <c r="D74" s="531"/>
      <c r="E74" s="531"/>
      <c r="F74" s="531"/>
      <c r="G74" s="531"/>
      <c r="H74" s="531"/>
      <c r="I74" s="531"/>
      <c r="J74" s="531"/>
    </row>
    <row r="75" spans="1:10" ht="21" customHeight="1" x14ac:dyDescent="0.25">
      <c r="A75" s="531"/>
      <c r="B75" s="531"/>
      <c r="C75" s="531"/>
      <c r="D75" s="531"/>
      <c r="E75" s="531"/>
      <c r="F75" s="531"/>
      <c r="G75" s="531"/>
      <c r="H75" s="531"/>
      <c r="I75" s="531"/>
      <c r="J75" s="531"/>
    </row>
    <row r="76" spans="1:10" ht="21" customHeight="1" x14ac:dyDescent="0.25">
      <c r="A76" s="531"/>
      <c r="B76" s="531"/>
      <c r="C76" s="531"/>
      <c r="D76" s="531"/>
      <c r="E76" s="531"/>
      <c r="F76" s="531"/>
      <c r="G76" s="531"/>
      <c r="H76" s="531"/>
      <c r="I76" s="531"/>
      <c r="J76" s="531"/>
    </row>
    <row r="77" spans="1:10" ht="21" customHeight="1" x14ac:dyDescent="0.25">
      <c r="A77" s="531"/>
      <c r="B77" s="531"/>
      <c r="C77" s="531"/>
      <c r="D77" s="531"/>
      <c r="E77" s="531"/>
      <c r="F77" s="531"/>
      <c r="G77" s="531"/>
      <c r="H77" s="531"/>
      <c r="I77" s="531"/>
      <c r="J77" s="531"/>
    </row>
    <row r="78" spans="1:10" ht="21" customHeight="1" x14ac:dyDescent="0.25">
      <c r="A78" s="531"/>
      <c r="B78" s="531"/>
      <c r="C78" s="531"/>
      <c r="D78" s="531"/>
      <c r="E78" s="531"/>
      <c r="F78" s="531"/>
      <c r="G78" s="531"/>
      <c r="H78" s="531"/>
      <c r="I78" s="531"/>
      <c r="J78" s="531"/>
    </row>
    <row r="79" spans="1:10" ht="21" customHeight="1" x14ac:dyDescent="0.25">
      <c r="A79" s="531"/>
      <c r="B79" s="531"/>
      <c r="C79" s="531"/>
      <c r="D79" s="531"/>
      <c r="E79" s="531"/>
      <c r="F79" s="531"/>
      <c r="G79" s="531"/>
      <c r="H79" s="531"/>
      <c r="I79" s="531"/>
      <c r="J79" s="532"/>
    </row>
    <row r="80" spans="1:10" ht="21" customHeight="1" x14ac:dyDescent="0.25">
      <c r="A80" s="531"/>
      <c r="B80" s="531"/>
      <c r="C80" s="531"/>
      <c r="D80" s="531"/>
      <c r="E80" s="531"/>
      <c r="F80" s="531"/>
      <c r="G80" s="531"/>
      <c r="H80" s="531"/>
      <c r="I80" s="531"/>
      <c r="J80" s="532"/>
    </row>
    <row r="81" spans="1:10" ht="21" customHeight="1" x14ac:dyDescent="0.25">
      <c r="A81" s="531"/>
      <c r="B81" s="531"/>
      <c r="C81" s="531"/>
      <c r="D81" s="531"/>
      <c r="E81" s="531"/>
      <c r="F81" s="531"/>
      <c r="G81" s="531"/>
      <c r="H81" s="531"/>
      <c r="I81" s="531"/>
      <c r="J81" s="532"/>
    </row>
    <row r="82" spans="1:10" ht="21" customHeight="1" x14ac:dyDescent="0.25">
      <c r="A82" s="531"/>
      <c r="B82" s="531"/>
      <c r="C82" s="531"/>
      <c r="D82" s="531"/>
      <c r="E82" s="531"/>
      <c r="F82" s="531"/>
      <c r="G82" s="531"/>
      <c r="H82" s="531"/>
      <c r="I82" s="531"/>
      <c r="J82" s="532"/>
    </row>
    <row r="83" spans="1:10" ht="21" customHeight="1" x14ac:dyDescent="0.25">
      <c r="A83" s="531"/>
      <c r="B83" s="531"/>
      <c r="C83" s="531"/>
      <c r="D83" s="531"/>
      <c r="E83" s="531"/>
      <c r="F83" s="531"/>
      <c r="G83" s="531"/>
      <c r="H83" s="531"/>
      <c r="I83" s="531"/>
      <c r="J83" s="532"/>
    </row>
    <row r="84" spans="1:10" ht="21" customHeight="1" x14ac:dyDescent="0.25">
      <c r="A84" s="531"/>
      <c r="B84" s="531"/>
      <c r="C84" s="531"/>
      <c r="D84" s="531"/>
      <c r="E84" s="531"/>
      <c r="F84" s="531"/>
      <c r="G84" s="531"/>
      <c r="H84" s="531"/>
      <c r="I84" s="531"/>
      <c r="J84" s="532"/>
    </row>
    <row r="85" spans="1:10" ht="21" customHeight="1" x14ac:dyDescent="0.25">
      <c r="A85" s="531"/>
      <c r="B85" s="531"/>
      <c r="C85" s="531"/>
      <c r="D85" s="531"/>
      <c r="E85" s="531"/>
      <c r="F85" s="531"/>
      <c r="G85" s="531"/>
      <c r="H85" s="531"/>
      <c r="I85" s="531"/>
      <c r="J85" s="532"/>
    </row>
    <row r="86" spans="1:10" ht="21" customHeight="1" x14ac:dyDescent="0.25">
      <c r="A86" s="531"/>
      <c r="B86" s="531"/>
      <c r="C86" s="531"/>
      <c r="D86" s="531"/>
      <c r="E86" s="531"/>
      <c r="F86" s="531"/>
      <c r="G86" s="531"/>
      <c r="H86" s="531"/>
      <c r="I86" s="531"/>
      <c r="J86" s="532"/>
    </row>
    <row r="87" spans="1:10" ht="21" customHeight="1" x14ac:dyDescent="0.25">
      <c r="A87" s="531"/>
      <c r="B87" s="531"/>
      <c r="C87" s="531"/>
      <c r="D87" s="531"/>
      <c r="E87" s="531"/>
      <c r="F87" s="531"/>
      <c r="G87" s="531"/>
      <c r="H87" s="531"/>
      <c r="I87" s="531"/>
      <c r="J87" s="532"/>
    </row>
    <row r="88" spans="1:10" ht="21" customHeight="1" x14ac:dyDescent="0.25">
      <c r="A88" s="531"/>
      <c r="B88" s="531"/>
      <c r="C88" s="531"/>
      <c r="D88" s="531"/>
      <c r="E88" s="531"/>
      <c r="F88" s="531"/>
      <c r="G88" s="531"/>
      <c r="H88" s="531"/>
      <c r="I88" s="531"/>
      <c r="J88" s="532"/>
    </row>
    <row r="89" spans="1:10" ht="21" customHeight="1" x14ac:dyDescent="0.25">
      <c r="A89" s="531"/>
      <c r="B89" s="531"/>
      <c r="C89" s="531"/>
      <c r="D89" s="531"/>
      <c r="E89" s="531"/>
      <c r="F89" s="531"/>
      <c r="G89" s="531"/>
      <c r="H89" s="531"/>
      <c r="I89" s="531"/>
      <c r="J89" s="532"/>
    </row>
    <row r="90" spans="1:10" ht="21" customHeight="1" x14ac:dyDescent="0.25">
      <c r="A90" s="531"/>
      <c r="B90" s="531"/>
      <c r="C90" s="531"/>
      <c r="D90" s="531"/>
      <c r="E90" s="531"/>
      <c r="F90" s="531"/>
      <c r="G90" s="531"/>
      <c r="H90" s="531"/>
      <c r="I90" s="531"/>
      <c r="J90" s="532"/>
    </row>
    <row r="91" spans="1:10" ht="21" customHeight="1" x14ac:dyDescent="0.25">
      <c r="A91" s="531"/>
      <c r="B91" s="531"/>
      <c r="C91" s="531"/>
      <c r="D91" s="531"/>
      <c r="E91" s="531"/>
      <c r="F91" s="531"/>
      <c r="G91" s="531"/>
      <c r="H91" s="531"/>
      <c r="I91" s="531"/>
      <c r="J91" s="532"/>
    </row>
    <row r="92" spans="1:10" ht="21" customHeight="1" x14ac:dyDescent="0.25">
      <c r="A92" s="531"/>
      <c r="B92" s="531"/>
      <c r="C92" s="531"/>
      <c r="D92" s="531"/>
      <c r="E92" s="531"/>
      <c r="F92" s="531"/>
      <c r="G92" s="531"/>
      <c r="H92" s="531"/>
      <c r="I92" s="531"/>
      <c r="J92" s="532"/>
    </row>
    <row r="93" spans="1:10" ht="21" customHeight="1" x14ac:dyDescent="0.25">
      <c r="A93" s="531"/>
      <c r="B93" s="531"/>
      <c r="C93" s="531"/>
      <c r="D93" s="531"/>
      <c r="E93" s="531"/>
      <c r="F93" s="531"/>
      <c r="G93" s="531"/>
      <c r="H93" s="531"/>
      <c r="I93" s="531"/>
      <c r="J93" s="532"/>
    </row>
    <row r="94" spans="1:10" ht="21" customHeight="1" x14ac:dyDescent="0.25">
      <c r="A94" s="531"/>
      <c r="B94" s="531"/>
      <c r="C94" s="531"/>
      <c r="D94" s="531"/>
      <c r="E94" s="531"/>
      <c r="F94" s="531"/>
      <c r="G94" s="531"/>
      <c r="H94" s="531"/>
      <c r="I94" s="531"/>
      <c r="J94" s="532"/>
    </row>
    <row r="95" spans="1:10" ht="21" customHeight="1" x14ac:dyDescent="0.25">
      <c r="A95" s="531"/>
      <c r="B95" s="531"/>
      <c r="C95" s="531"/>
      <c r="D95" s="531"/>
      <c r="E95" s="531"/>
      <c r="F95" s="531"/>
      <c r="G95" s="531"/>
      <c r="H95" s="531"/>
      <c r="I95" s="531"/>
      <c r="J95" s="532"/>
    </row>
    <row r="96" spans="1:10" ht="21" customHeight="1" x14ac:dyDescent="0.25">
      <c r="A96" s="531"/>
      <c r="B96" s="531"/>
      <c r="C96" s="531"/>
      <c r="D96" s="531"/>
      <c r="E96" s="531"/>
      <c r="F96" s="531"/>
      <c r="G96" s="531"/>
      <c r="H96" s="531"/>
      <c r="I96" s="531"/>
      <c r="J96" s="532"/>
    </row>
    <row r="97" spans="1:10" ht="21" customHeight="1" x14ac:dyDescent="0.25">
      <c r="A97" s="531"/>
      <c r="B97" s="531"/>
      <c r="C97" s="531"/>
      <c r="D97" s="531"/>
      <c r="E97" s="531"/>
      <c r="F97" s="531"/>
      <c r="G97" s="531"/>
      <c r="H97" s="531"/>
      <c r="I97" s="531"/>
      <c r="J97" s="532"/>
    </row>
    <row r="98" spans="1:10" ht="21" customHeight="1" x14ac:dyDescent="0.25">
      <c r="A98" s="531"/>
      <c r="B98" s="531"/>
      <c r="C98" s="531"/>
      <c r="D98" s="531"/>
      <c r="E98" s="531"/>
      <c r="F98" s="531"/>
      <c r="G98" s="531"/>
      <c r="H98" s="531"/>
      <c r="I98" s="531"/>
      <c r="J98" s="532"/>
    </row>
    <row r="99" spans="1:10" ht="21" customHeight="1" x14ac:dyDescent="0.25">
      <c r="A99" s="531"/>
      <c r="B99" s="531"/>
      <c r="C99" s="531"/>
      <c r="D99" s="531"/>
      <c r="E99" s="531"/>
      <c r="F99" s="531"/>
      <c r="G99" s="531"/>
      <c r="H99" s="531"/>
      <c r="I99" s="531"/>
      <c r="J99" s="532"/>
    </row>
    <row r="100" spans="1:10" ht="21" customHeight="1" x14ac:dyDescent="0.25">
      <c r="A100" s="531"/>
      <c r="B100" s="531"/>
      <c r="C100" s="531"/>
      <c r="D100" s="531"/>
      <c r="E100" s="531"/>
      <c r="F100" s="531"/>
      <c r="G100" s="531"/>
      <c r="H100" s="531"/>
      <c r="I100" s="531"/>
      <c r="J100" s="532"/>
    </row>
    <row r="101" spans="1:10" x14ac:dyDescent="0.25">
      <c r="A101" s="531"/>
      <c r="B101" s="531"/>
      <c r="C101" s="531"/>
      <c r="D101" s="531"/>
      <c r="E101" s="531"/>
      <c r="F101" s="531"/>
      <c r="G101" s="531"/>
      <c r="H101" s="531"/>
      <c r="I101" s="531"/>
      <c r="J101" s="532"/>
    </row>
    <row r="102" spans="1:10" x14ac:dyDescent="0.25">
      <c r="A102" s="531"/>
      <c r="B102" s="531"/>
      <c r="C102" s="531"/>
      <c r="D102" s="531"/>
      <c r="E102" s="531"/>
      <c r="F102" s="531"/>
      <c r="G102" s="531"/>
      <c r="H102" s="531"/>
      <c r="I102" s="531"/>
      <c r="J102" s="532"/>
    </row>
    <row r="103" spans="1:10" x14ac:dyDescent="0.25">
      <c r="A103" s="531"/>
      <c r="B103" s="531"/>
      <c r="C103" s="531"/>
      <c r="D103" s="531"/>
      <c r="E103" s="531"/>
      <c r="F103" s="531"/>
      <c r="G103" s="531"/>
      <c r="H103" s="531"/>
      <c r="I103" s="531"/>
      <c r="J103" s="532"/>
    </row>
    <row r="104" spans="1:10" x14ac:dyDescent="0.25">
      <c r="A104" s="531"/>
      <c r="B104" s="531"/>
      <c r="C104" s="531"/>
      <c r="D104" s="531"/>
      <c r="E104" s="531"/>
      <c r="F104" s="531"/>
      <c r="G104" s="531"/>
      <c r="H104" s="531"/>
      <c r="I104" s="531"/>
      <c r="J104" s="532"/>
    </row>
    <row r="105" spans="1:10" x14ac:dyDescent="0.25">
      <c r="A105" s="531"/>
      <c r="B105" s="531"/>
      <c r="C105" s="531"/>
      <c r="D105" s="531"/>
      <c r="E105" s="531"/>
      <c r="F105" s="531"/>
      <c r="G105" s="531"/>
      <c r="H105" s="531"/>
      <c r="I105" s="531"/>
      <c r="J105" s="532"/>
    </row>
    <row r="106" spans="1:10" x14ac:dyDescent="0.25">
      <c r="J106" s="91"/>
    </row>
    <row r="107" spans="1:10" x14ac:dyDescent="0.25">
      <c r="J107" s="91"/>
    </row>
    <row r="108" spans="1:10" x14ac:dyDescent="0.25">
      <c r="J108" s="91"/>
    </row>
  </sheetData>
  <sheetProtection sheet="1" objects="1" scenarios="1"/>
  <mergeCells count="4">
    <mergeCell ref="B4:F4"/>
    <mergeCell ref="B13:F13"/>
    <mergeCell ref="B9:F9"/>
    <mergeCell ref="D11:F11"/>
  </mergeCells>
  <phoneticPr fontId="0" type="noConversion"/>
  <printOptions horizontalCentered="1"/>
  <pageMargins left="0.39370078740157483" right="0.19685039370078741" top="0.78740157480314965" bottom="0.39370078740157483" header="0.19685039370078741" footer="0.19685039370078741"/>
  <pageSetup paperSize="9" scale="77" orientation="portrait" blackAndWhite="1" horizontalDpi="4294967293" verticalDpi="4294967293" r:id="rId1"/>
  <headerFooter alignWithMargins="0">
    <oddHeader>&amp;C&amp;G</oddHeader>
    <oddFooter>&amp;L&amp;8Stand: Januar 2020&amp;C&amp;8Seite &amp;P/&amp;N&amp;R&amp;8&amp;D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Daten!$A$29:$A$34</xm:f>
          </x14:formula1>
          <xm:sqref>D15</xm:sqref>
        </x14:dataValidation>
        <x14:dataValidation type="list" allowBlank="1" showInputMessage="1" showErrorMessage="1">
          <x14:formula1>
            <xm:f>Daten!$D$1:$D$2</xm:f>
          </x14:formula1>
          <xm:sqref>D17</xm:sqref>
        </x14:dataValidation>
        <x14:dataValidation type="list" allowBlank="1" showInputMessage="1" showErrorMessage="1">
          <x14:formula1>
            <xm:f>Daten!$D$29:$D$30</xm:f>
          </x14:formula1>
          <xm:sqref>D27</xm:sqref>
        </x14:dataValidation>
        <x14:dataValidation type="list" allowBlank="1" showInputMessage="1" showErrorMessage="1">
          <x14:formula1>
            <xm:f>Daten!$A$7:$A$9</xm:f>
          </x14:formula1>
          <xm:sqref>D23</xm:sqref>
        </x14:dataValidation>
        <x14:dataValidation type="list" allowBlank="1" showInputMessage="1" showErrorMessage="1">
          <x14:formula1>
            <xm:f>Daten!$C$29:$C$30</xm:f>
          </x14:formula1>
          <xm:sqref>D20</xm:sqref>
        </x14:dataValidation>
        <x14:dataValidation type="list" allowBlank="1" showInputMessage="1" showErrorMessage="1">
          <x14:formula1>
            <xm:f>Daten!$C$1:$C$8</xm:f>
          </x14:formula1>
          <xm:sqref>D11:F11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tabColor rgb="FFFF0000"/>
  </sheetPr>
  <dimension ref="A1:CL112"/>
  <sheetViews>
    <sheetView zoomScaleNormal="100" zoomScaleSheetLayoutView="100" workbookViewId="0">
      <selection activeCell="E27" sqref="E27"/>
    </sheetView>
  </sheetViews>
  <sheetFormatPr baseColWidth="10" defaultColWidth="11.453125" defaultRowHeight="12.5" x14ac:dyDescent="0.25"/>
  <cols>
    <col min="1" max="1" width="42.7265625" style="2" customWidth="1"/>
    <col min="2" max="2" width="28.7265625" style="2" customWidth="1"/>
    <col min="3" max="3" width="2.26953125" style="2" customWidth="1"/>
    <col min="4" max="4" width="32.7265625" style="11" customWidth="1"/>
    <col min="5" max="5" width="10.7265625" style="2" customWidth="1"/>
    <col min="6" max="6" width="11.453125" style="8" hidden="1" customWidth="1"/>
    <col min="7" max="7" width="37" style="8" hidden="1" customWidth="1"/>
    <col min="8" max="8" width="6.7265625" style="2" hidden="1" customWidth="1"/>
    <col min="9" max="9" width="2.7265625" style="2" hidden="1" customWidth="1"/>
    <col min="10" max="10" width="17.26953125" style="2" hidden="1" customWidth="1"/>
    <col min="11" max="11" width="8" style="2" hidden="1" customWidth="1"/>
    <col min="12" max="12" width="2.7265625" style="2" hidden="1" customWidth="1"/>
    <col min="13" max="13" width="24" style="2" hidden="1" customWidth="1"/>
    <col min="14" max="24" width="11.453125" style="2" hidden="1" customWidth="1"/>
    <col min="25" max="25" width="15.54296875" style="2" hidden="1" customWidth="1"/>
    <col min="26" max="27" width="11.453125" style="2" hidden="1" customWidth="1"/>
    <col min="28" max="28" width="19.1796875" style="2" hidden="1" customWidth="1"/>
    <col min="29" max="29" width="9" style="2" hidden="1" customWidth="1"/>
    <col min="30" max="30" width="21.7265625" style="2" hidden="1" customWidth="1"/>
    <col min="31" max="31" width="15.54296875" style="2" hidden="1" customWidth="1"/>
    <col min="32" max="32" width="8.1796875" style="2" hidden="1" customWidth="1"/>
    <col min="33" max="33" width="20.7265625" style="2" hidden="1" customWidth="1"/>
    <col min="34" max="34" width="23.7265625" style="2" hidden="1" customWidth="1"/>
    <col min="35" max="35" width="8" style="2" hidden="1" customWidth="1"/>
    <col min="36" max="36" width="2.7265625" style="2" hidden="1" customWidth="1"/>
    <col min="37" max="37" width="17.26953125" style="2" hidden="1" customWidth="1"/>
    <col min="38" max="38" width="8" style="2" hidden="1" customWidth="1"/>
    <col min="39" max="39" width="2.7265625" style="2" hidden="1" customWidth="1"/>
    <col min="40" max="40" width="24" style="2" hidden="1" customWidth="1"/>
    <col min="41" max="47" width="11.453125" style="2" hidden="1" customWidth="1"/>
    <col min="48" max="48" width="8.26953125" style="2" hidden="1" customWidth="1"/>
    <col min="49" max="49" width="20.26953125" style="2" hidden="1" customWidth="1"/>
    <col min="50" max="50" width="12.26953125" style="2" hidden="1" customWidth="1"/>
    <col min="51" max="51" width="8.26953125" style="2" hidden="1" customWidth="1"/>
    <col min="52" max="52" width="15.54296875" style="2" hidden="1" customWidth="1"/>
    <col min="53" max="53" width="21.7265625" style="2" hidden="1" customWidth="1"/>
    <col min="54" max="54" width="11.26953125" style="2" hidden="1" customWidth="1"/>
    <col min="55" max="56" width="19" style="2" hidden="1" customWidth="1"/>
    <col min="57" max="59" width="11.453125" style="2" hidden="1" customWidth="1"/>
    <col min="60" max="60" width="20.7265625" style="2" hidden="1" customWidth="1"/>
    <col min="61" max="61" width="23.7265625" style="2" hidden="1" customWidth="1"/>
    <col min="62" max="62" width="19.1796875" style="2" hidden="1" customWidth="1"/>
    <col min="63" max="63" width="11.26953125" style="2" hidden="1" customWidth="1"/>
    <col min="64" max="64" width="17.26953125" style="2" hidden="1" customWidth="1"/>
    <col min="65" max="65" width="8" style="2" hidden="1" customWidth="1"/>
    <col min="66" max="66" width="2.7265625" style="2" hidden="1" customWidth="1"/>
    <col min="67" max="67" width="24" style="2" hidden="1" customWidth="1"/>
    <col min="68" max="68" width="11.453125" style="2" hidden="1" customWidth="1"/>
    <col min="69" max="69" width="24.1796875" style="2" hidden="1" customWidth="1"/>
    <col min="70" max="90" width="11.453125" style="2" hidden="1" customWidth="1"/>
    <col min="91" max="158" width="11.453125" style="2" customWidth="1"/>
    <col min="159" max="16384" width="11.453125" style="2"/>
  </cols>
  <sheetData>
    <row r="1" spans="1:80" ht="20.149999999999999" customHeight="1" thickBot="1" x14ac:dyDescent="0.3">
      <c r="B1" s="3" t="s">
        <v>44</v>
      </c>
      <c r="C1" s="4"/>
      <c r="D1" s="26">
        <f>'Ermittlung Schneelast'!D6</f>
        <v>0</v>
      </c>
      <c r="E1" s="26"/>
      <c r="F1" s="22"/>
      <c r="G1" s="763" t="s">
        <v>216</v>
      </c>
      <c r="H1" s="764"/>
      <c r="I1" s="304"/>
      <c r="J1" s="160" t="s">
        <v>168</v>
      </c>
      <c r="K1" s="160" t="s">
        <v>169</v>
      </c>
      <c r="M1" s="306" t="s">
        <v>10</v>
      </c>
      <c r="N1" s="165">
        <v>0.5</v>
      </c>
      <c r="O1" s="165">
        <f>IF(AND($D$12&gt;0.5,$D$12&lt;0.6),$D$12,0)</f>
        <v>0</v>
      </c>
      <c r="P1" s="165">
        <v>0.6</v>
      </c>
      <c r="Q1" s="165">
        <f>IF(AND($D$12&gt;0.6,$D$12&lt;0.7),$D$12,0)</f>
        <v>0</v>
      </c>
      <c r="R1" s="165">
        <v>0.7</v>
      </c>
      <c r="S1" s="165">
        <f>IF(AND($D$12&gt;0.7,$D$12&lt;0.8),$D$12,0)</f>
        <v>0.73</v>
      </c>
      <c r="T1" s="165">
        <v>0.8</v>
      </c>
      <c r="U1" s="165">
        <f>IF(AND($D$12&gt;0.8,$D$12&lt;0.9),$D$12,0)</f>
        <v>0</v>
      </c>
      <c r="V1" s="165">
        <v>0.9</v>
      </c>
      <c r="W1" s="165">
        <f>IF(AND($D$12&gt;0.9,$D$12&lt;1),$D$12,0)</f>
        <v>0</v>
      </c>
      <c r="X1" s="165">
        <v>1</v>
      </c>
      <c r="Y1" s="165">
        <f>IF(AND($D$12&gt;1,$D$12&lt;1.1),$D$12,0)</f>
        <v>0</v>
      </c>
      <c r="Z1" s="166">
        <v>1.1000000000000001</v>
      </c>
      <c r="AD1" s="304"/>
      <c r="AH1" s="763" t="s">
        <v>290</v>
      </c>
      <c r="AI1" s="764"/>
      <c r="AK1" s="160" t="s">
        <v>302</v>
      </c>
      <c r="AL1" s="160" t="s">
        <v>175</v>
      </c>
      <c r="AN1" s="306" t="s">
        <v>10</v>
      </c>
      <c r="AO1" s="165">
        <v>0.5</v>
      </c>
      <c r="AP1" s="165">
        <f>IF(AND($D$12&gt;0.5,$D$12&lt;0.6),$D$12,0)</f>
        <v>0</v>
      </c>
      <c r="AQ1" s="165">
        <v>0.6</v>
      </c>
      <c r="AR1" s="165">
        <f>IF(AND($D$12&gt;0.6,$D$12&lt;0.7),$D$12,0)</f>
        <v>0</v>
      </c>
      <c r="AS1" s="165">
        <v>0.7</v>
      </c>
      <c r="AT1" s="165">
        <f>IF(AND($D$12&gt;0.7,$D$12&lt;0.8),$D$12,0)</f>
        <v>0.73</v>
      </c>
      <c r="AU1" s="165">
        <v>0.8</v>
      </c>
      <c r="AV1" s="165">
        <f>IF(AND($D$12&gt;0.8,$D$12&lt;0.9),$D$12,0)</f>
        <v>0</v>
      </c>
      <c r="AW1" s="165">
        <v>0.9</v>
      </c>
      <c r="AX1" s="165">
        <f>IF(AND($D$12&gt;0.9,$D$12&lt;1),$D$12,0)</f>
        <v>0</v>
      </c>
      <c r="AY1" s="165">
        <v>1</v>
      </c>
      <c r="AZ1" s="165">
        <f>IF(AND($D$12&gt;1,$D$12&lt;1.1),$D$12,0)</f>
        <v>0</v>
      </c>
      <c r="BA1" s="166">
        <v>1.1000000000000001</v>
      </c>
      <c r="BI1" s="763" t="s">
        <v>292</v>
      </c>
      <c r="BJ1" s="764"/>
      <c r="BL1" s="160" t="s">
        <v>301</v>
      </c>
      <c r="BM1" s="160" t="s">
        <v>183</v>
      </c>
      <c r="BO1" s="306" t="s">
        <v>10</v>
      </c>
      <c r="BP1" s="165">
        <v>0.5</v>
      </c>
      <c r="BQ1" s="165">
        <f>IF(AND($D$12&gt;0.5,$D$12&lt;0.6),$D$12,0)</f>
        <v>0</v>
      </c>
      <c r="BR1" s="165">
        <v>0.6</v>
      </c>
      <c r="BS1" s="165">
        <f>IF(AND($D$12&gt;0.6,$D$12&lt;0.7),$D$12,0)</f>
        <v>0</v>
      </c>
      <c r="BT1" s="165">
        <v>0.7</v>
      </c>
      <c r="BU1" s="165">
        <f>IF(AND($D$12&gt;0.7,$D$12&lt;0.8),$D$12,0)</f>
        <v>0.73</v>
      </c>
      <c r="BV1" s="165">
        <v>0.8</v>
      </c>
      <c r="BW1" s="165">
        <f>IF(AND($D$12&gt;0.8,$D$12&lt;0.9),$D$12,0)</f>
        <v>0</v>
      </c>
      <c r="BX1" s="165">
        <v>0.9</v>
      </c>
      <c r="BY1" s="165">
        <f>IF(AND($D$12&gt;0.9,$D$12&lt;1),$D$12,0)</f>
        <v>0</v>
      </c>
      <c r="BZ1" s="165">
        <v>1</v>
      </c>
      <c r="CA1" s="165">
        <f>IF(AND($D$12&gt;1,$D$12&lt;1.1),$D$12,0)</f>
        <v>0</v>
      </c>
      <c r="CB1" s="166">
        <v>1.1000000000000001</v>
      </c>
    </row>
    <row r="2" spans="1:80" ht="20.149999999999999" customHeight="1" x14ac:dyDescent="0.25">
      <c r="A2" s="24"/>
      <c r="B2" s="3" t="s">
        <v>45</v>
      </c>
      <c r="C2" s="4"/>
      <c r="D2" s="26">
        <f>'Ermittlung Schneelast'!D7</f>
        <v>0</v>
      </c>
      <c r="E2" s="26"/>
      <c r="F2" s="22"/>
      <c r="G2" s="313" t="s">
        <v>164</v>
      </c>
      <c r="H2" s="493">
        <f>VLOOKUP($D$5,Daten!$A$38:$D$43,2)</f>
        <v>1</v>
      </c>
      <c r="I2" s="305"/>
      <c r="J2" s="161">
        <v>0.52</v>
      </c>
      <c r="K2" s="162">
        <v>1.1299999999999999</v>
      </c>
      <c r="M2" s="623" t="s">
        <v>503</v>
      </c>
      <c r="N2" s="168">
        <v>5.96</v>
      </c>
      <c r="O2" s="169">
        <f t="shared" ref="O2:O12" si="0">N2-(N2-P2)*($O$1-$N$1)/($P$1-$N$1)</f>
        <v>7.6100000000000012</v>
      </c>
      <c r="P2" s="170">
        <v>5.63</v>
      </c>
      <c r="Q2" s="169">
        <f t="shared" ref="Q2:Q12" si="1">P2-(P2-R2)*($Q$1-$P$1)/($R$1-$P$1)</f>
        <v>7.3100000000000023</v>
      </c>
      <c r="R2" s="170">
        <v>5.35</v>
      </c>
      <c r="S2" s="169">
        <f t="shared" ref="S2:S12" si="2">R2-(R2-T2)*($S$1-$R$1)/($T$1-$R$1)</f>
        <v>5.2809999999999997</v>
      </c>
      <c r="T2" s="170">
        <v>5.12</v>
      </c>
      <c r="U2" s="169">
        <f t="shared" ref="U2:U12" si="3">T2-(T2-V2)*($U$1-$T$1)/($V$1-$T$1)</f>
        <v>6.6400000000000041</v>
      </c>
      <c r="V2" s="170">
        <v>4.93</v>
      </c>
      <c r="W2" s="169">
        <f t="shared" ref="W2:W12" si="4">V2-(V2-X2)*($W$1-$V$1)/($X$1-$V$1)</f>
        <v>6.4599999999999991</v>
      </c>
      <c r="X2" s="170">
        <v>4.76</v>
      </c>
      <c r="Y2" s="169">
        <f t="shared" ref="Y2:Y12" si="5">X2-(X2-Z2)*($Y$1-$X$1)/($Z$1-$X$1)</f>
        <v>6.2599999999999927</v>
      </c>
      <c r="Z2" s="170">
        <v>4.6100000000000003</v>
      </c>
      <c r="AD2" s="305"/>
      <c r="AG2" s="18"/>
      <c r="AH2" s="313" t="s">
        <v>177</v>
      </c>
      <c r="AI2" s="493">
        <f>VLOOKUP($D$5,Daten!$A$38:$D$43,3)</f>
        <v>1</v>
      </c>
      <c r="AK2" s="161">
        <v>0.52</v>
      </c>
      <c r="AL2" s="162">
        <v>1.2</v>
      </c>
      <c r="AN2" s="623" t="s">
        <v>503</v>
      </c>
      <c r="AO2" s="168">
        <v>7.75</v>
      </c>
      <c r="AP2" s="169">
        <f t="shared" ref="AP2:AP12" si="6">AO2-(AO2-AQ2)*($O$1-$N$1)/($P$1-$N$1)</f>
        <v>10.95</v>
      </c>
      <c r="AQ2" s="170">
        <v>7.11</v>
      </c>
      <c r="AR2" s="169">
        <f t="shared" ref="AR2:AR12" si="7">AQ2-(AQ2-AS2)*($Q$1-$P$1)/($R$1-$P$1)</f>
        <v>10.170000000000005</v>
      </c>
      <c r="AS2" s="170">
        <v>6.6</v>
      </c>
      <c r="AT2" s="169">
        <f t="shared" ref="AT2:AT12" si="8">AS2-(AS2-AU2)*($S$1-$R$1)/($T$1-$R$1)</f>
        <v>6.4770000000000003</v>
      </c>
      <c r="AU2" s="170">
        <v>6.19</v>
      </c>
      <c r="AV2" s="169">
        <f t="shared" ref="AV2:AV12" si="9">AU2-(AU2-AW2)*($U$1-$T$1)/($V$1-$T$1)</f>
        <v>8.9100000000000072</v>
      </c>
      <c r="AW2" s="170">
        <v>5.85</v>
      </c>
      <c r="AX2" s="169">
        <f t="shared" ref="AX2:AX12" si="10">AW2-(AW2-AY2)*($W$1-$V$1)/($X$1-$V$1)</f>
        <v>8.4600000000000009</v>
      </c>
      <c r="AY2" s="170">
        <v>5.56</v>
      </c>
      <c r="AZ2" s="169">
        <f t="shared" ref="AZ2:AZ12" si="11">AY2-(AY2-BA2)*($Y$1-$X$1)/($Z$1-$X$1)</f>
        <v>8.1599999999999948</v>
      </c>
      <c r="BA2" s="170">
        <v>5.3</v>
      </c>
      <c r="BI2" s="313" t="s">
        <v>185</v>
      </c>
      <c r="BJ2" s="493">
        <f>VLOOKUP($D$5,Daten!$A$38:$D$43,4)</f>
        <v>1</v>
      </c>
      <c r="BL2" s="652">
        <v>1.196</v>
      </c>
      <c r="BM2" s="162">
        <v>1.08</v>
      </c>
      <c r="BO2" s="623" t="s">
        <v>503</v>
      </c>
      <c r="BP2" s="168">
        <v>8.2799999999999994</v>
      </c>
      <c r="BQ2" s="169">
        <f t="shared" ref="BQ2:BQ12" si="12">BP2-(BP2-BR2)*($O$1-$N$1)/($P$1-$N$1)</f>
        <v>11.729999999999997</v>
      </c>
      <c r="BR2" s="170">
        <v>7.59</v>
      </c>
      <c r="BS2" s="169">
        <f t="shared" ref="BS2:BS12" si="13">BR2-(BR2-BT2)*($Q$1-$P$1)/($R$1-$P$1)</f>
        <v>10.83</v>
      </c>
      <c r="BT2" s="170">
        <v>7.05</v>
      </c>
      <c r="BU2" s="169">
        <f t="shared" ref="BU2:BU12" si="14">BT2-(BT2-BV2)*($S$1-$R$1)/($T$1-$R$1)</f>
        <v>6.9180000000000001</v>
      </c>
      <c r="BV2" s="170">
        <v>6.61</v>
      </c>
      <c r="BW2" s="169">
        <f t="shared" ref="BW2:BW12" si="15">BV2-(BV2-BX2)*($U$1-$T$1)/($V$1-$T$1)</f>
        <v>9.5700000000000021</v>
      </c>
      <c r="BX2" s="170">
        <v>6.24</v>
      </c>
      <c r="BY2" s="169">
        <f t="shared" ref="BY2:BY12" si="16">BX2-(BX2-BZ2)*($W$1-$V$1)/($X$1-$V$1)</f>
        <v>9.0300000000000047</v>
      </c>
      <c r="BZ2" s="170">
        <v>5.93</v>
      </c>
      <c r="CA2" s="169">
        <f t="shared" ref="CA2:CA12" si="17">BZ2-(BZ2-CB2)*($Y$1-$X$1)/($Z$1-$X$1)</f>
        <v>8.6299999999999937</v>
      </c>
      <c r="CB2" s="170">
        <v>5.66</v>
      </c>
    </row>
    <row r="3" spans="1:80" ht="20.149999999999999" customHeight="1" thickBot="1" x14ac:dyDescent="0.3">
      <c r="A3" s="24"/>
      <c r="F3" s="20"/>
      <c r="G3" s="156" t="s">
        <v>163</v>
      </c>
      <c r="H3" s="490">
        <f>VLOOKUP($D$6,J2:K14,2)</f>
        <v>0.98199999999999998</v>
      </c>
      <c r="I3" s="305"/>
      <c r="J3" s="161" t="str">
        <f>IF(AND($D$6&gt;J2,$D$6&lt;J4),$D$6,"nicht interpolieren")</f>
        <v>nicht interpolieren</v>
      </c>
      <c r="K3" s="162" t="e">
        <f>K2-(K2-K4)*(J3-J2)/(J4-J2)</f>
        <v>#VALUE!</v>
      </c>
      <c r="M3" s="674" t="s">
        <v>504</v>
      </c>
      <c r="N3" s="172">
        <v>7.03</v>
      </c>
      <c r="O3" s="169">
        <f t="shared" si="0"/>
        <v>8.8300000000000018</v>
      </c>
      <c r="P3" s="169">
        <v>6.67</v>
      </c>
      <c r="Q3" s="169">
        <f t="shared" si="1"/>
        <v>8.41</v>
      </c>
      <c r="R3" s="169">
        <v>6.38</v>
      </c>
      <c r="S3" s="169">
        <f t="shared" si="2"/>
        <v>6.3049999999999997</v>
      </c>
      <c r="T3" s="169">
        <v>6.13</v>
      </c>
      <c r="U3" s="169">
        <f t="shared" si="3"/>
        <v>7.8899999999999988</v>
      </c>
      <c r="V3" s="169">
        <v>5.91</v>
      </c>
      <c r="W3" s="169">
        <f t="shared" si="4"/>
        <v>7.6200000000000037</v>
      </c>
      <c r="X3" s="169">
        <v>5.72</v>
      </c>
      <c r="Y3" s="169">
        <f t="shared" si="5"/>
        <v>7.32</v>
      </c>
      <c r="Z3" s="169">
        <v>5.56</v>
      </c>
      <c r="AD3" s="305"/>
      <c r="AH3" s="156" t="s">
        <v>178</v>
      </c>
      <c r="AI3" s="490">
        <f>VLOOKUP($D$6,AK2:AL14,2)</f>
        <v>0.97199999999999998</v>
      </c>
      <c r="AK3" s="161" t="str">
        <f>IF(AND($D$6&gt;AK2,$D$6&lt;AK4),$D$6,"nicht interpolieren")</f>
        <v>nicht interpolieren</v>
      </c>
      <c r="AL3" s="162" t="e">
        <f>AL2-(AL2-AL4)*(AK3-AK2)/(AK4-AK2)</f>
        <v>#VALUE!</v>
      </c>
      <c r="AN3" s="674" t="s">
        <v>504</v>
      </c>
      <c r="AO3" s="172">
        <v>9.73</v>
      </c>
      <c r="AP3" s="169">
        <f t="shared" si="6"/>
        <v>13.48</v>
      </c>
      <c r="AQ3" s="169">
        <v>8.98</v>
      </c>
      <c r="AR3" s="169">
        <f t="shared" si="7"/>
        <v>12.52</v>
      </c>
      <c r="AS3" s="169">
        <v>8.39</v>
      </c>
      <c r="AT3" s="169">
        <f t="shared" si="8"/>
        <v>8.2430000000000003</v>
      </c>
      <c r="AU3" s="169">
        <v>7.9</v>
      </c>
      <c r="AV3" s="169">
        <f t="shared" si="9"/>
        <v>11.260000000000002</v>
      </c>
      <c r="AW3" s="169">
        <v>7.48</v>
      </c>
      <c r="AX3" s="169">
        <f t="shared" si="10"/>
        <v>10.630000000000006</v>
      </c>
      <c r="AY3" s="169">
        <v>7.13</v>
      </c>
      <c r="AZ3" s="169">
        <f t="shared" si="11"/>
        <v>10.229999999999993</v>
      </c>
      <c r="BA3" s="169">
        <v>6.82</v>
      </c>
      <c r="BI3" s="181" t="s">
        <v>303</v>
      </c>
      <c r="BJ3" s="490">
        <f>IF('Ermittlung Schneelast'!D17="nein",10000,VLOOKUP(D7,BL2:BM12,2))</f>
        <v>10000</v>
      </c>
      <c r="BL3" s="161" t="str">
        <f>IF(AND($D$7&gt;BL2,$D$7&lt;BL4),$D$7,"nicht interpolieren")</f>
        <v>nicht interpolieren</v>
      </c>
      <c r="BM3" s="162" t="e">
        <f>BM2-(BM2-BM4)*(BL3-BL2)/(BL4-BL2)</f>
        <v>#VALUE!</v>
      </c>
      <c r="BO3" s="674" t="s">
        <v>504</v>
      </c>
      <c r="BP3" s="172">
        <v>10.47</v>
      </c>
      <c r="BQ3" s="169">
        <f t="shared" si="12"/>
        <v>14.570000000000004</v>
      </c>
      <c r="BR3" s="169">
        <v>9.65</v>
      </c>
      <c r="BS3" s="169">
        <f t="shared" si="13"/>
        <v>13.550000000000002</v>
      </c>
      <c r="BT3" s="169">
        <v>9</v>
      </c>
      <c r="BU3" s="169">
        <f t="shared" si="14"/>
        <v>8.838000000000001</v>
      </c>
      <c r="BV3" s="169">
        <v>8.4600000000000009</v>
      </c>
      <c r="BW3" s="169">
        <f t="shared" si="15"/>
        <v>12.060000000000009</v>
      </c>
      <c r="BX3" s="169">
        <v>8.01</v>
      </c>
      <c r="BY3" s="169">
        <f t="shared" si="16"/>
        <v>11.43</v>
      </c>
      <c r="BZ3" s="169">
        <v>7.63</v>
      </c>
      <c r="CA3" s="169">
        <f t="shared" si="17"/>
        <v>11.029999999999996</v>
      </c>
      <c r="CB3" s="169">
        <v>7.29</v>
      </c>
    </row>
    <row r="4" spans="1:80" ht="20.149999999999999" customHeight="1" x14ac:dyDescent="0.25">
      <c r="A4" s="24"/>
      <c r="B4" s="228" t="s">
        <v>304</v>
      </c>
      <c r="C4" s="229"/>
      <c r="D4" s="230"/>
      <c r="E4" s="231"/>
      <c r="F4" s="20"/>
      <c r="G4" s="314" t="s">
        <v>165</v>
      </c>
      <c r="H4" s="494">
        <f>VLOOKUP($D$8,Daten!$A$50:$D$58,4)</f>
        <v>1</v>
      </c>
      <c r="I4" s="109"/>
      <c r="J4" s="161">
        <v>0.75</v>
      </c>
      <c r="K4" s="162">
        <v>1.06</v>
      </c>
      <c r="M4" s="674" t="s">
        <v>505</v>
      </c>
      <c r="N4" s="172">
        <v>7.51</v>
      </c>
      <c r="O4" s="169">
        <f t="shared" si="0"/>
        <v>9.3099999999999969</v>
      </c>
      <c r="P4" s="169">
        <v>7.15</v>
      </c>
      <c r="Q4" s="169">
        <f t="shared" si="1"/>
        <v>9.0100000000000033</v>
      </c>
      <c r="R4" s="169">
        <v>6.84</v>
      </c>
      <c r="S4" s="169">
        <f t="shared" si="2"/>
        <v>6.7649999999999997</v>
      </c>
      <c r="T4" s="169">
        <v>6.59</v>
      </c>
      <c r="U4" s="169">
        <f t="shared" si="3"/>
        <v>8.4299999999999962</v>
      </c>
      <c r="V4" s="169">
        <v>6.36</v>
      </c>
      <c r="W4" s="169">
        <f t="shared" si="4"/>
        <v>8.0700000000000038</v>
      </c>
      <c r="X4" s="169">
        <v>6.17</v>
      </c>
      <c r="Y4" s="169">
        <f t="shared" si="5"/>
        <v>7.9699999999999953</v>
      </c>
      <c r="Z4" s="169">
        <v>5.99</v>
      </c>
      <c r="AD4" s="109"/>
      <c r="AH4" s="314" t="s">
        <v>179</v>
      </c>
      <c r="AI4" s="494">
        <f>VLOOKUP($D$8,Daten!$A$50:$D$58,4)</f>
        <v>1</v>
      </c>
      <c r="AK4" s="161">
        <v>0.75</v>
      </c>
      <c r="AL4" s="162">
        <v>1.0900000000000001</v>
      </c>
      <c r="AN4" s="674" t="s">
        <v>505</v>
      </c>
      <c r="AO4" s="172">
        <v>10.78</v>
      </c>
      <c r="AP4" s="169">
        <f t="shared" si="6"/>
        <v>14.729999999999997</v>
      </c>
      <c r="AQ4" s="169">
        <v>9.99</v>
      </c>
      <c r="AR4" s="169">
        <f t="shared" si="7"/>
        <v>13.770000000000005</v>
      </c>
      <c r="AS4" s="169">
        <v>9.36</v>
      </c>
      <c r="AT4" s="169">
        <f t="shared" si="8"/>
        <v>9.2010000000000005</v>
      </c>
      <c r="AU4" s="169">
        <v>8.83</v>
      </c>
      <c r="AV4" s="169">
        <f t="shared" si="9"/>
        <v>12.429999999999996</v>
      </c>
      <c r="AW4" s="169">
        <v>8.3800000000000008</v>
      </c>
      <c r="AX4" s="169">
        <f t="shared" si="10"/>
        <v>11.800000000000008</v>
      </c>
      <c r="AY4" s="169">
        <v>8</v>
      </c>
      <c r="AZ4" s="169">
        <f t="shared" si="11"/>
        <v>11.399999999999995</v>
      </c>
      <c r="BA4" s="169">
        <v>7.66</v>
      </c>
      <c r="BI4" s="314" t="s">
        <v>186</v>
      </c>
      <c r="BJ4" s="494">
        <v>1</v>
      </c>
      <c r="BL4" s="161">
        <v>1.5</v>
      </c>
      <c r="BM4" s="162">
        <v>1</v>
      </c>
      <c r="BO4" s="674" t="s">
        <v>505</v>
      </c>
      <c r="BP4" s="172">
        <v>11.64</v>
      </c>
      <c r="BQ4" s="169">
        <f t="shared" si="12"/>
        <v>15.990000000000006</v>
      </c>
      <c r="BR4" s="169">
        <v>10.77</v>
      </c>
      <c r="BS4" s="169">
        <f t="shared" si="13"/>
        <v>14.969999999999995</v>
      </c>
      <c r="BT4" s="169">
        <v>10.07</v>
      </c>
      <c r="BU4" s="169">
        <f t="shared" si="14"/>
        <v>9.8960000000000008</v>
      </c>
      <c r="BV4" s="169">
        <v>9.49</v>
      </c>
      <c r="BW4" s="169">
        <f t="shared" si="15"/>
        <v>13.410000000000004</v>
      </c>
      <c r="BX4" s="169">
        <v>9</v>
      </c>
      <c r="BY4" s="169">
        <f t="shared" si="16"/>
        <v>12.780000000000001</v>
      </c>
      <c r="BZ4" s="169">
        <v>8.58</v>
      </c>
      <c r="CA4" s="169">
        <f t="shared" si="17"/>
        <v>12.279999999999989</v>
      </c>
      <c r="CB4" s="169">
        <v>8.2100000000000009</v>
      </c>
    </row>
    <row r="5" spans="1:80" ht="20.149999999999999" customHeight="1" x14ac:dyDescent="0.25">
      <c r="A5" s="310"/>
      <c r="B5" s="254" t="s">
        <v>8</v>
      </c>
      <c r="C5" s="232" t="s">
        <v>0</v>
      </c>
      <c r="D5" s="667" t="s">
        <v>297</v>
      </c>
      <c r="E5" s="233"/>
      <c r="G5" s="157" t="s">
        <v>166</v>
      </c>
      <c r="H5" s="490">
        <f>VLOOKUP($D$9,J17:K22,2)</f>
        <v>1</v>
      </c>
      <c r="I5" s="109"/>
      <c r="J5" s="161" t="str">
        <f>IF(AND($D$6&gt;J4,$D$6&lt;J6),$D$6,"nicht interpolieren")</f>
        <v>nicht interpolieren</v>
      </c>
      <c r="K5" s="162" t="e">
        <f>K4-(K4-K6)*(J5-J4)/(J6-J4)</f>
        <v>#VALUE!</v>
      </c>
      <c r="M5" s="171" t="s">
        <v>506</v>
      </c>
      <c r="N5" s="172">
        <v>7.82</v>
      </c>
      <c r="O5" s="169">
        <f t="shared" si="0"/>
        <v>9.7700000000000031</v>
      </c>
      <c r="P5" s="169">
        <v>7.43</v>
      </c>
      <c r="Q5" s="169">
        <f t="shared" si="1"/>
        <v>9.3499999999999961</v>
      </c>
      <c r="R5" s="169">
        <v>7.11</v>
      </c>
      <c r="S5" s="169">
        <f t="shared" si="2"/>
        <v>7.0289999999999999</v>
      </c>
      <c r="T5" s="169">
        <v>6.84</v>
      </c>
      <c r="U5" s="169">
        <f t="shared" si="3"/>
        <v>8.6799999999999962</v>
      </c>
      <c r="V5" s="169">
        <v>6.61</v>
      </c>
      <c r="W5" s="169">
        <f t="shared" si="4"/>
        <v>8.5</v>
      </c>
      <c r="X5" s="169">
        <v>6.4</v>
      </c>
      <c r="Y5" s="169">
        <f t="shared" si="5"/>
        <v>8.2000000000000046</v>
      </c>
      <c r="Z5" s="169">
        <v>6.22</v>
      </c>
      <c r="AD5" s="109"/>
      <c r="AH5" s="157" t="s">
        <v>180</v>
      </c>
      <c r="AI5" s="490">
        <f>VLOOKUP($D$9,AK17:AL22,2)</f>
        <v>1</v>
      </c>
      <c r="AK5" s="161" t="str">
        <f>IF(AND($D$6&gt;AK4,$D$6&lt;AK6),$D$6,"nicht interpolieren")</f>
        <v>nicht interpolieren</v>
      </c>
      <c r="AL5" s="162" t="e">
        <f>AL4-(AL4-AL6)*(AK5-AK4)/(AK6-AK4)</f>
        <v>#VALUE!</v>
      </c>
      <c r="AN5" s="171" t="s">
        <v>506</v>
      </c>
      <c r="AO5" s="172">
        <v>11.45</v>
      </c>
      <c r="AP5" s="169">
        <f t="shared" si="6"/>
        <v>15.7</v>
      </c>
      <c r="AQ5" s="169">
        <v>10.6</v>
      </c>
      <c r="AR5" s="169">
        <f t="shared" si="7"/>
        <v>14.739999999999998</v>
      </c>
      <c r="AS5" s="169">
        <v>9.91</v>
      </c>
      <c r="AT5" s="169">
        <f t="shared" si="8"/>
        <v>9.7420000000000009</v>
      </c>
      <c r="AU5" s="169">
        <v>9.35</v>
      </c>
      <c r="AV5" s="169">
        <f t="shared" si="9"/>
        <v>13.190000000000005</v>
      </c>
      <c r="AW5" s="169">
        <v>8.8699999999999992</v>
      </c>
      <c r="AX5" s="169">
        <f t="shared" si="10"/>
        <v>12.559999999999985</v>
      </c>
      <c r="AY5" s="169">
        <v>8.4600000000000009</v>
      </c>
      <c r="AZ5" s="169">
        <f t="shared" si="11"/>
        <v>12.060000000000009</v>
      </c>
      <c r="BA5" s="169">
        <v>8.1</v>
      </c>
      <c r="BI5" s="157" t="s">
        <v>187</v>
      </c>
      <c r="BJ5" s="490">
        <f>VLOOKUP($D$9,BL15:BM20,2)</f>
        <v>1</v>
      </c>
      <c r="BL5" s="161" t="str">
        <f>IF(AND($D$7&gt;BL4,$D$7&lt;BL6),$D$7,"nicht interpolieren")</f>
        <v>nicht interpolieren</v>
      </c>
      <c r="BM5" s="162" t="e">
        <f>BM4-(BM4-BM6)*(BL5-BL4)/(BL6-BL4)</f>
        <v>#VALUE!</v>
      </c>
      <c r="BO5" s="171" t="s">
        <v>506</v>
      </c>
      <c r="BP5" s="172">
        <v>12.35</v>
      </c>
      <c r="BQ5" s="169">
        <f t="shared" si="12"/>
        <v>17.049999999999997</v>
      </c>
      <c r="BR5" s="169">
        <v>11.41</v>
      </c>
      <c r="BS5" s="169">
        <f t="shared" si="13"/>
        <v>15.91</v>
      </c>
      <c r="BT5" s="169">
        <v>10.66</v>
      </c>
      <c r="BU5" s="169">
        <f t="shared" si="14"/>
        <v>10.474</v>
      </c>
      <c r="BV5" s="169">
        <v>10.039999999999999</v>
      </c>
      <c r="BW5" s="169">
        <f t="shared" si="15"/>
        <v>14.199999999999998</v>
      </c>
      <c r="BX5" s="169">
        <v>9.52</v>
      </c>
      <c r="BY5" s="169">
        <f t="shared" si="16"/>
        <v>13.569999999999993</v>
      </c>
      <c r="BZ5" s="169">
        <v>9.07</v>
      </c>
      <c r="CA5" s="169">
        <f t="shared" si="17"/>
        <v>13.07</v>
      </c>
      <c r="CB5" s="169">
        <v>8.67</v>
      </c>
    </row>
    <row r="6" spans="1:80" ht="20.149999999999999" customHeight="1" thickBot="1" x14ac:dyDescent="0.3">
      <c r="A6" s="310"/>
      <c r="B6" s="254" t="s">
        <v>170</v>
      </c>
      <c r="C6" s="232" t="s">
        <v>0</v>
      </c>
      <c r="D6" s="257">
        <f>'Ermittlung Schneelast'!D53</f>
        <v>1.1000000000000001</v>
      </c>
      <c r="E6" s="233"/>
      <c r="G6" s="158" t="s">
        <v>90</v>
      </c>
      <c r="H6" s="495">
        <f>VLOOKUP($D$13,Daten!$A$44:$B$47,2)</f>
        <v>1</v>
      </c>
      <c r="I6" s="24"/>
      <c r="J6" s="161">
        <v>1</v>
      </c>
      <c r="K6" s="162">
        <v>1</v>
      </c>
      <c r="M6" s="167" t="s">
        <v>143</v>
      </c>
      <c r="N6" s="172">
        <v>2.54</v>
      </c>
      <c r="O6" s="169">
        <f t="shared" si="0"/>
        <v>3.3899999999999997</v>
      </c>
      <c r="P6" s="169">
        <v>2.37</v>
      </c>
      <c r="Q6" s="169">
        <f t="shared" si="1"/>
        <v>3.2100000000000009</v>
      </c>
      <c r="R6" s="169">
        <v>2.23</v>
      </c>
      <c r="S6" s="169">
        <f t="shared" si="2"/>
        <v>2.2000000000000002</v>
      </c>
      <c r="T6" s="169">
        <v>2.13</v>
      </c>
      <c r="U6" s="169">
        <f t="shared" si="3"/>
        <v>2.8499999999999988</v>
      </c>
      <c r="V6" s="169">
        <v>2.04</v>
      </c>
      <c r="W6" s="169">
        <f t="shared" si="4"/>
        <v>2.7600000000000007</v>
      </c>
      <c r="X6" s="169">
        <v>1.96</v>
      </c>
      <c r="Y6" s="169">
        <f t="shared" si="5"/>
        <v>2.76</v>
      </c>
      <c r="Z6" s="169">
        <v>1.88</v>
      </c>
      <c r="AD6" s="24"/>
      <c r="AH6" s="158" t="s">
        <v>90</v>
      </c>
      <c r="AI6" s="159">
        <f>VLOOKUP($D$13,Daten!$A$44:$B$47,2)</f>
        <v>1</v>
      </c>
      <c r="AK6" s="161">
        <v>1</v>
      </c>
      <c r="AL6" s="162">
        <v>1</v>
      </c>
      <c r="AN6" s="167" t="s">
        <v>143</v>
      </c>
      <c r="AO6" s="172">
        <v>3.47</v>
      </c>
      <c r="AP6" s="169">
        <f t="shared" si="6"/>
        <v>4.9200000000000008</v>
      </c>
      <c r="AQ6" s="169">
        <v>3.18</v>
      </c>
      <c r="AR6" s="169">
        <f t="shared" si="7"/>
        <v>4.6200000000000019</v>
      </c>
      <c r="AS6" s="169">
        <v>2.94</v>
      </c>
      <c r="AT6" s="169">
        <f t="shared" si="8"/>
        <v>2.88</v>
      </c>
      <c r="AU6" s="169">
        <v>2.74</v>
      </c>
      <c r="AV6" s="169">
        <f t="shared" si="9"/>
        <v>4.0200000000000014</v>
      </c>
      <c r="AW6" s="169">
        <v>2.58</v>
      </c>
      <c r="AX6" s="169">
        <f t="shared" si="10"/>
        <v>3.8400000000000016</v>
      </c>
      <c r="AY6" s="169">
        <v>2.44</v>
      </c>
      <c r="AZ6" s="169">
        <f t="shared" si="11"/>
        <v>3.7399999999999975</v>
      </c>
      <c r="BA6" s="169">
        <v>2.31</v>
      </c>
      <c r="BI6" s="158" t="s">
        <v>90</v>
      </c>
      <c r="BJ6" s="159">
        <f>VLOOKUP($D$13,Daten!$A$44:$B$47,2)</f>
        <v>1</v>
      </c>
      <c r="BL6" s="161">
        <v>2</v>
      </c>
      <c r="BM6" s="162">
        <v>0.89</v>
      </c>
      <c r="BO6" s="167" t="s">
        <v>143</v>
      </c>
      <c r="BP6" s="172">
        <v>3.7</v>
      </c>
      <c r="BQ6" s="169">
        <f t="shared" si="12"/>
        <v>5.3000000000000025</v>
      </c>
      <c r="BR6" s="169">
        <v>3.38</v>
      </c>
      <c r="BS6" s="169">
        <f t="shared" si="13"/>
        <v>4.8199999999999985</v>
      </c>
      <c r="BT6" s="169">
        <v>3.14</v>
      </c>
      <c r="BU6" s="169">
        <f t="shared" si="14"/>
        <v>3.08</v>
      </c>
      <c r="BV6" s="169">
        <v>2.94</v>
      </c>
      <c r="BW6" s="169">
        <f t="shared" si="15"/>
        <v>4.3800000000000017</v>
      </c>
      <c r="BX6" s="169">
        <v>2.76</v>
      </c>
      <c r="BY6" s="169">
        <f t="shared" si="16"/>
        <v>4.1099999999999994</v>
      </c>
      <c r="BZ6" s="169">
        <v>2.61</v>
      </c>
      <c r="CA6" s="169">
        <f t="shared" si="17"/>
        <v>3.9099999999999975</v>
      </c>
      <c r="CB6" s="169">
        <v>2.48</v>
      </c>
    </row>
    <row r="7" spans="1:80" ht="20.149999999999999" customHeight="1" x14ac:dyDescent="0.25">
      <c r="A7" s="310"/>
      <c r="B7" s="254" t="s">
        <v>171</v>
      </c>
      <c r="C7" s="232" t="s">
        <v>0</v>
      </c>
      <c r="D7" s="257" t="str">
        <f>'Ermittlung Schneelast'!D54</f>
        <v>nur erforderlich für Norddeutsches Tiefland</v>
      </c>
      <c r="E7" s="233"/>
      <c r="I7" s="18"/>
      <c r="J7" s="161">
        <f>IF(AND($D$6&gt;J6,$D$6&lt;J8),$D$6,"nicht interpolieren")</f>
        <v>1.1000000000000001</v>
      </c>
      <c r="K7" s="162">
        <f>K6-(K6-K8)*(J7-J6)/(J8-J6)</f>
        <v>0.98199999999999998</v>
      </c>
      <c r="M7" s="171" t="s">
        <v>144</v>
      </c>
      <c r="N7" s="172">
        <v>2.6</v>
      </c>
      <c r="O7" s="169">
        <f t="shared" si="0"/>
        <v>3.3499999999999996</v>
      </c>
      <c r="P7" s="169">
        <v>2.4500000000000002</v>
      </c>
      <c r="Q7" s="169">
        <f t="shared" si="1"/>
        <v>3.1700000000000008</v>
      </c>
      <c r="R7" s="169">
        <v>2.33</v>
      </c>
      <c r="S7" s="169">
        <f t="shared" si="2"/>
        <v>2.2999999999999998</v>
      </c>
      <c r="T7" s="169">
        <v>2.23</v>
      </c>
      <c r="U7" s="169">
        <f t="shared" si="3"/>
        <v>2.8700000000000006</v>
      </c>
      <c r="V7" s="169">
        <v>2.15</v>
      </c>
      <c r="W7" s="169">
        <f t="shared" si="4"/>
        <v>2.7799999999999985</v>
      </c>
      <c r="X7" s="169">
        <v>2.08</v>
      </c>
      <c r="Y7" s="169">
        <f t="shared" si="5"/>
        <v>2.780000000000002</v>
      </c>
      <c r="Z7" s="169">
        <v>2.0099999999999998</v>
      </c>
      <c r="AD7" s="18"/>
      <c r="AH7" s="8"/>
      <c r="AK7" s="161">
        <f>IF(AND($D$6&gt;AK6,$D$6&lt;AK8),$D$6,"nicht interpolieren")</f>
        <v>1.1000000000000001</v>
      </c>
      <c r="AL7" s="162">
        <f>AL6-(AL6-AL8)*(AK7-AK6)/(AK8-AK6)</f>
        <v>0.97199999999999998</v>
      </c>
      <c r="AN7" s="171" t="s">
        <v>144</v>
      </c>
      <c r="AO7" s="172">
        <v>3.64</v>
      </c>
      <c r="AP7" s="169">
        <f t="shared" si="6"/>
        <v>5.1400000000000023</v>
      </c>
      <c r="AQ7" s="169">
        <v>3.34</v>
      </c>
      <c r="AR7" s="169">
        <f t="shared" si="7"/>
        <v>4.7799999999999985</v>
      </c>
      <c r="AS7" s="169">
        <v>3.1</v>
      </c>
      <c r="AT7" s="169">
        <f t="shared" si="8"/>
        <v>3.04</v>
      </c>
      <c r="AU7" s="169">
        <v>2.9</v>
      </c>
      <c r="AV7" s="169">
        <f t="shared" si="9"/>
        <v>4.1799999999999979</v>
      </c>
      <c r="AW7" s="169">
        <v>2.74</v>
      </c>
      <c r="AX7" s="169">
        <f t="shared" si="10"/>
        <v>3.9100000000000037</v>
      </c>
      <c r="AY7" s="169">
        <v>2.61</v>
      </c>
      <c r="AZ7" s="169">
        <f t="shared" si="11"/>
        <v>3.8099999999999952</v>
      </c>
      <c r="BA7" s="169">
        <v>2.4900000000000002</v>
      </c>
      <c r="BI7" s="8"/>
      <c r="BL7" s="161" t="str">
        <f>IF(AND($D$7&gt;BL6,$D$7&lt;BL8),$D$7,"nicht interpolieren")</f>
        <v>nicht interpolieren</v>
      </c>
      <c r="BM7" s="162" t="e">
        <f>BM6-(BM6-BM8)*(BL7-BL6)/(BL8-BL6)</f>
        <v>#VALUE!</v>
      </c>
      <c r="BO7" s="171" t="s">
        <v>144</v>
      </c>
      <c r="BP7" s="172">
        <v>3.89</v>
      </c>
      <c r="BQ7" s="169">
        <f t="shared" si="12"/>
        <v>5.5400000000000009</v>
      </c>
      <c r="BR7" s="169">
        <v>3.56</v>
      </c>
      <c r="BS7" s="169">
        <f t="shared" si="13"/>
        <v>5.0600000000000005</v>
      </c>
      <c r="BT7" s="169">
        <v>3.31</v>
      </c>
      <c r="BU7" s="169">
        <f t="shared" si="14"/>
        <v>3.2469999999999999</v>
      </c>
      <c r="BV7" s="169">
        <v>3.1</v>
      </c>
      <c r="BW7" s="169">
        <f t="shared" si="15"/>
        <v>4.46</v>
      </c>
      <c r="BX7" s="169">
        <v>2.93</v>
      </c>
      <c r="BY7" s="169">
        <f t="shared" si="16"/>
        <v>4.2800000000000038</v>
      </c>
      <c r="BZ7" s="169">
        <v>2.78</v>
      </c>
      <c r="CA7" s="169">
        <f t="shared" si="17"/>
        <v>4.0799999999999974</v>
      </c>
      <c r="CB7" s="169">
        <v>2.65</v>
      </c>
    </row>
    <row r="8" spans="1:80" ht="20.149999999999999" customHeight="1" x14ac:dyDescent="0.25">
      <c r="A8" s="310"/>
      <c r="B8" s="254" t="s">
        <v>25</v>
      </c>
      <c r="C8" s="232" t="s">
        <v>0</v>
      </c>
      <c r="D8" s="258" t="str">
        <f>'Ermittlung Schneelast'!D11:F11</f>
        <v>1, Binnenland</v>
      </c>
      <c r="E8" s="233"/>
      <c r="I8" s="18"/>
      <c r="J8" s="161">
        <v>1.5</v>
      </c>
      <c r="K8" s="162">
        <v>0.91</v>
      </c>
      <c r="M8" s="167" t="s">
        <v>145</v>
      </c>
      <c r="N8" s="172">
        <v>3.69</v>
      </c>
      <c r="O8" s="169">
        <f t="shared" si="0"/>
        <v>4.7899999999999991</v>
      </c>
      <c r="P8" s="169">
        <v>3.47</v>
      </c>
      <c r="Q8" s="169">
        <f t="shared" si="1"/>
        <v>4.5500000000000016</v>
      </c>
      <c r="R8" s="169">
        <v>3.29</v>
      </c>
      <c r="S8" s="169">
        <f t="shared" si="2"/>
        <v>3.2450000000000001</v>
      </c>
      <c r="T8" s="169">
        <v>3.14</v>
      </c>
      <c r="U8" s="169">
        <f t="shared" si="3"/>
        <v>4.1800000000000033</v>
      </c>
      <c r="V8" s="169">
        <v>3.01</v>
      </c>
      <c r="W8" s="169">
        <f t="shared" si="4"/>
        <v>3.9999999999999991</v>
      </c>
      <c r="X8" s="169">
        <v>2.9</v>
      </c>
      <c r="Y8" s="169">
        <f t="shared" si="5"/>
        <v>3.9</v>
      </c>
      <c r="Z8" s="169">
        <v>2.8</v>
      </c>
      <c r="AD8" s="18"/>
      <c r="AH8" s="8"/>
      <c r="AK8" s="161">
        <v>1.5</v>
      </c>
      <c r="AL8" s="162">
        <v>0.86</v>
      </c>
      <c r="AN8" s="167" t="s">
        <v>145</v>
      </c>
      <c r="AO8" s="172">
        <v>4.76</v>
      </c>
      <c r="AP8" s="169">
        <f t="shared" si="6"/>
        <v>6.759999999999998</v>
      </c>
      <c r="AQ8" s="169">
        <v>4.3600000000000003</v>
      </c>
      <c r="AR8" s="169">
        <f t="shared" si="7"/>
        <v>6.3400000000000016</v>
      </c>
      <c r="AS8" s="169">
        <v>4.03</v>
      </c>
      <c r="AT8" s="169">
        <f t="shared" si="8"/>
        <v>3.9490000000000003</v>
      </c>
      <c r="AU8" s="169">
        <v>3.76</v>
      </c>
      <c r="AV8" s="169">
        <f t="shared" si="9"/>
        <v>5.5199999999999987</v>
      </c>
      <c r="AW8" s="169">
        <v>3.54</v>
      </c>
      <c r="AX8" s="169">
        <f t="shared" si="10"/>
        <v>5.1600000000000019</v>
      </c>
      <c r="AY8" s="169">
        <v>3.36</v>
      </c>
      <c r="AZ8" s="169">
        <f t="shared" si="11"/>
        <v>4.9599999999999955</v>
      </c>
      <c r="BA8" s="169">
        <v>3.2</v>
      </c>
      <c r="BI8" s="8"/>
      <c r="BL8" s="161">
        <v>2.5</v>
      </c>
      <c r="BM8" s="162">
        <v>0.81</v>
      </c>
      <c r="BO8" s="167" t="s">
        <v>145</v>
      </c>
      <c r="BP8" s="172">
        <v>5.08</v>
      </c>
      <c r="BQ8" s="169">
        <f t="shared" si="12"/>
        <v>7.2299999999999986</v>
      </c>
      <c r="BR8" s="169">
        <v>4.6500000000000004</v>
      </c>
      <c r="BS8" s="169">
        <f t="shared" si="13"/>
        <v>6.7500000000000036</v>
      </c>
      <c r="BT8" s="169">
        <v>4.3</v>
      </c>
      <c r="BU8" s="169">
        <f t="shared" si="14"/>
        <v>4.2159999999999993</v>
      </c>
      <c r="BV8" s="169">
        <v>4.0199999999999996</v>
      </c>
      <c r="BW8" s="169">
        <f t="shared" si="15"/>
        <v>5.8599999999999959</v>
      </c>
      <c r="BX8" s="169">
        <v>3.79</v>
      </c>
      <c r="BY8" s="169">
        <f t="shared" si="16"/>
        <v>5.5900000000000016</v>
      </c>
      <c r="BZ8" s="169">
        <v>3.59</v>
      </c>
      <c r="CA8" s="169">
        <f t="shared" si="17"/>
        <v>5.3899999999999952</v>
      </c>
      <c r="CB8" s="169">
        <v>3.41</v>
      </c>
    </row>
    <row r="9" spans="1:80" ht="20.149999999999999" customHeight="1" x14ac:dyDescent="0.25">
      <c r="A9" s="310"/>
      <c r="B9" s="254" t="s">
        <v>4</v>
      </c>
      <c r="C9" s="232" t="s">
        <v>0</v>
      </c>
      <c r="D9" s="259">
        <f>'Ermittlung Schneelast'!D18</f>
        <v>10</v>
      </c>
      <c r="E9" s="233"/>
      <c r="J9" s="161" t="str">
        <f>IF(AND(D$6&gt;J8,$D$6&lt;J10),$D$6,"nicht interpolieren")</f>
        <v>nicht interpolieren</v>
      </c>
      <c r="K9" s="162" t="e">
        <f>K8-(K8-K10)*(J9-J8)/(J10-J8)</f>
        <v>#VALUE!</v>
      </c>
      <c r="M9" s="171" t="s">
        <v>146</v>
      </c>
      <c r="N9" s="172">
        <v>4.2699999999999996</v>
      </c>
      <c r="O9" s="169">
        <f t="shared" si="0"/>
        <v>5.4199999999999973</v>
      </c>
      <c r="P9" s="169">
        <v>4.04</v>
      </c>
      <c r="Q9" s="169">
        <f t="shared" si="1"/>
        <v>5.18</v>
      </c>
      <c r="R9" s="169">
        <v>3.85</v>
      </c>
      <c r="S9" s="169">
        <f t="shared" si="2"/>
        <v>3.8050000000000002</v>
      </c>
      <c r="T9" s="169">
        <v>3.7</v>
      </c>
      <c r="U9" s="169">
        <f t="shared" si="3"/>
        <v>4.8200000000000012</v>
      </c>
      <c r="V9" s="169">
        <v>3.56</v>
      </c>
      <c r="W9" s="169">
        <f t="shared" si="4"/>
        <v>4.6400000000000015</v>
      </c>
      <c r="X9" s="169">
        <v>3.44</v>
      </c>
      <c r="Y9" s="169">
        <f t="shared" si="5"/>
        <v>4.4399999999999995</v>
      </c>
      <c r="Z9" s="169">
        <v>3.34</v>
      </c>
      <c r="AH9" s="8"/>
      <c r="AK9" s="161" t="str">
        <f>IF(AND($D$6&gt;AK8,$D$6&lt;AK10),$D$6,"nicht interpolieren")</f>
        <v>nicht interpolieren</v>
      </c>
      <c r="AL9" s="162" t="e">
        <f>AL8-(AL8-AL10)*(AK9-AK8)/(AK10-AK8)</f>
        <v>#VALUE!</v>
      </c>
      <c r="AN9" s="171" t="s">
        <v>146</v>
      </c>
      <c r="AO9" s="172">
        <v>5.9</v>
      </c>
      <c r="AP9" s="169">
        <f t="shared" si="6"/>
        <v>8.2500000000000036</v>
      </c>
      <c r="AQ9" s="169">
        <v>5.43</v>
      </c>
      <c r="AR9" s="169">
        <f t="shared" si="7"/>
        <v>7.7099999999999991</v>
      </c>
      <c r="AS9" s="169">
        <v>5.05</v>
      </c>
      <c r="AT9" s="169">
        <f t="shared" si="8"/>
        <v>4.9569999999999999</v>
      </c>
      <c r="AU9" s="169">
        <v>4.74</v>
      </c>
      <c r="AV9" s="169">
        <f t="shared" si="9"/>
        <v>6.8199999999999994</v>
      </c>
      <c r="AW9" s="169">
        <v>4.4800000000000004</v>
      </c>
      <c r="AX9" s="169">
        <f t="shared" si="10"/>
        <v>6.4600000000000071</v>
      </c>
      <c r="AY9" s="169">
        <v>4.26</v>
      </c>
      <c r="AZ9" s="169">
        <f t="shared" si="11"/>
        <v>6.159999999999993</v>
      </c>
      <c r="BA9" s="169">
        <v>4.07</v>
      </c>
      <c r="BI9" s="8"/>
      <c r="BL9" s="161" t="str">
        <f>IF(AND($D$7&gt;BL8,$D$7&lt;BL10),$D$7,"nicht interpolieren")</f>
        <v>nicht interpolieren</v>
      </c>
      <c r="BM9" s="162" t="e">
        <f>BM8-(BM8-BM10)*(BL9-BL8)/(BL10-BL8)</f>
        <v>#VALUE!</v>
      </c>
      <c r="BO9" s="171" t="s">
        <v>146</v>
      </c>
      <c r="BP9" s="172">
        <v>6.32</v>
      </c>
      <c r="BQ9" s="169">
        <f t="shared" si="12"/>
        <v>8.8700000000000045</v>
      </c>
      <c r="BR9" s="169">
        <v>5.81</v>
      </c>
      <c r="BS9" s="169">
        <f t="shared" si="13"/>
        <v>8.269999999999996</v>
      </c>
      <c r="BT9" s="169">
        <v>5.4</v>
      </c>
      <c r="BU9" s="169">
        <f t="shared" si="14"/>
        <v>5.3010000000000002</v>
      </c>
      <c r="BV9" s="169">
        <v>5.07</v>
      </c>
      <c r="BW9" s="169">
        <f t="shared" si="15"/>
        <v>7.3100000000000023</v>
      </c>
      <c r="BX9" s="169">
        <v>4.79</v>
      </c>
      <c r="BY9" s="169">
        <f t="shared" si="16"/>
        <v>6.9500000000000028</v>
      </c>
      <c r="BZ9" s="169">
        <v>4.55</v>
      </c>
      <c r="CA9" s="169">
        <f t="shared" si="17"/>
        <v>6.55</v>
      </c>
      <c r="CB9" s="169">
        <v>4.3499999999999996</v>
      </c>
    </row>
    <row r="10" spans="1:80" ht="20.149999999999999" customHeight="1" x14ac:dyDescent="0.25">
      <c r="A10" s="311"/>
      <c r="B10" s="255" t="s">
        <v>9</v>
      </c>
      <c r="C10" s="234" t="s">
        <v>0</v>
      </c>
      <c r="D10" s="260">
        <f>'Ermittlung Schneelast'!_b2</f>
        <v>3.5</v>
      </c>
      <c r="E10" s="233"/>
      <c r="J10" s="161">
        <v>2</v>
      </c>
      <c r="K10" s="162">
        <v>0.84</v>
      </c>
      <c r="M10" s="167" t="s">
        <v>147</v>
      </c>
      <c r="N10" s="172">
        <v>4.6900000000000004</v>
      </c>
      <c r="O10" s="169">
        <f t="shared" si="0"/>
        <v>6.0400000000000027</v>
      </c>
      <c r="P10" s="169">
        <v>4.42</v>
      </c>
      <c r="Q10" s="169">
        <f t="shared" si="1"/>
        <v>5.7399999999999984</v>
      </c>
      <c r="R10" s="169">
        <v>4.2</v>
      </c>
      <c r="S10" s="169">
        <f t="shared" si="2"/>
        <v>4.1429999999999998</v>
      </c>
      <c r="T10" s="169">
        <v>4.01</v>
      </c>
      <c r="U10" s="169">
        <f t="shared" si="3"/>
        <v>5.2899999999999974</v>
      </c>
      <c r="V10" s="169">
        <v>3.85</v>
      </c>
      <c r="W10" s="169">
        <f t="shared" si="4"/>
        <v>5.0199999999999996</v>
      </c>
      <c r="X10" s="169">
        <v>3.72</v>
      </c>
      <c r="Y10" s="169">
        <f t="shared" si="5"/>
        <v>4.92</v>
      </c>
      <c r="Z10" s="169">
        <v>3.6</v>
      </c>
      <c r="AH10" s="8"/>
      <c r="AK10" s="161">
        <v>2</v>
      </c>
      <c r="AL10" s="162">
        <v>0.77</v>
      </c>
      <c r="AN10" s="167" t="s">
        <v>147</v>
      </c>
      <c r="AO10" s="172">
        <v>7.02</v>
      </c>
      <c r="AP10" s="169">
        <f t="shared" si="6"/>
        <v>9.9199999999999964</v>
      </c>
      <c r="AQ10" s="169">
        <v>6.44</v>
      </c>
      <c r="AR10" s="169">
        <f t="shared" si="7"/>
        <v>9.2000000000000011</v>
      </c>
      <c r="AS10" s="169">
        <v>5.98</v>
      </c>
      <c r="AT10" s="169">
        <f t="shared" si="8"/>
        <v>5.8690000000000007</v>
      </c>
      <c r="AU10" s="169">
        <v>5.61</v>
      </c>
      <c r="AV10" s="169">
        <f t="shared" si="9"/>
        <v>8.0900000000000052</v>
      </c>
      <c r="AW10" s="169">
        <v>5.3</v>
      </c>
      <c r="AX10" s="169">
        <f t="shared" si="10"/>
        <v>7.6399999999999988</v>
      </c>
      <c r="AY10" s="169">
        <v>5.04</v>
      </c>
      <c r="AZ10" s="169">
        <f t="shared" si="11"/>
        <v>7.4399999999999995</v>
      </c>
      <c r="BA10" s="169">
        <v>4.8</v>
      </c>
      <c r="BI10" s="8"/>
      <c r="BL10" s="161">
        <v>3</v>
      </c>
      <c r="BM10" s="162">
        <v>0.75</v>
      </c>
      <c r="BO10" s="167" t="s">
        <v>147</v>
      </c>
      <c r="BP10" s="172">
        <v>7.51</v>
      </c>
      <c r="BQ10" s="169">
        <f t="shared" si="12"/>
        <v>10.66</v>
      </c>
      <c r="BR10" s="169">
        <v>6.88</v>
      </c>
      <c r="BS10" s="169">
        <f t="shared" si="13"/>
        <v>9.8200000000000021</v>
      </c>
      <c r="BT10" s="169">
        <v>6.39</v>
      </c>
      <c r="BU10" s="169">
        <f t="shared" si="14"/>
        <v>6.27</v>
      </c>
      <c r="BV10" s="169">
        <v>5.99</v>
      </c>
      <c r="BW10" s="169">
        <f t="shared" si="15"/>
        <v>8.7100000000000009</v>
      </c>
      <c r="BX10" s="169">
        <v>5.65</v>
      </c>
      <c r="BY10" s="169">
        <f t="shared" si="16"/>
        <v>8.1700000000000035</v>
      </c>
      <c r="BZ10" s="169">
        <v>5.37</v>
      </c>
      <c r="CA10" s="169">
        <f t="shared" si="17"/>
        <v>7.77</v>
      </c>
      <c r="CB10" s="169">
        <v>5.13</v>
      </c>
    </row>
    <row r="11" spans="1:80" ht="20.149999999999999" customHeight="1" x14ac:dyDescent="0.25">
      <c r="A11" s="310"/>
      <c r="B11" s="254" t="s">
        <v>10</v>
      </c>
      <c r="C11" s="234" t="s">
        <v>0</v>
      </c>
      <c r="D11" s="668" t="s">
        <v>147</v>
      </c>
      <c r="E11" s="233"/>
      <c r="J11" s="161" t="str">
        <f>IF(AND($D$6&gt;J10,$D$6&lt;J12),$D$6,"nicht interpolieren")</f>
        <v>nicht interpolieren</v>
      </c>
      <c r="K11" s="162" t="e">
        <f>K10-(K10-K12)*(J11-J10)/(J12-J10)</f>
        <v>#VALUE!</v>
      </c>
      <c r="M11" s="171" t="s">
        <v>148</v>
      </c>
      <c r="N11" s="172">
        <v>5.43</v>
      </c>
      <c r="O11" s="169">
        <f t="shared" si="0"/>
        <v>6.8299999999999965</v>
      </c>
      <c r="P11" s="169">
        <v>5.15</v>
      </c>
      <c r="Q11" s="169">
        <f t="shared" si="1"/>
        <v>6.5300000000000029</v>
      </c>
      <c r="R11" s="169">
        <v>4.92</v>
      </c>
      <c r="S11" s="169">
        <f t="shared" si="2"/>
        <v>4.8599999999999994</v>
      </c>
      <c r="T11" s="169">
        <v>4.72</v>
      </c>
      <c r="U11" s="169">
        <f t="shared" si="3"/>
        <v>6.08</v>
      </c>
      <c r="V11" s="169">
        <v>4.55</v>
      </c>
      <c r="W11" s="169">
        <f t="shared" si="4"/>
        <v>5.8099999999999969</v>
      </c>
      <c r="X11" s="169">
        <v>4.41</v>
      </c>
      <c r="Y11" s="169">
        <f t="shared" si="5"/>
        <v>5.7099999999999982</v>
      </c>
      <c r="Z11" s="169">
        <v>4.28</v>
      </c>
      <c r="AH11" s="8"/>
      <c r="AK11" s="161" t="str">
        <f>IF(AND($D$6&gt;AK10,$D$6&lt;AK12),$D$6,"nicht interpolieren")</f>
        <v>nicht interpolieren</v>
      </c>
      <c r="AL11" s="162" t="e">
        <f>AL10-(AL10-AL12)*(AK11-AK10)/(AK12-AK10)</f>
        <v>#VALUE!</v>
      </c>
      <c r="AN11" s="171" t="s">
        <v>148</v>
      </c>
      <c r="AO11" s="172">
        <v>8.09</v>
      </c>
      <c r="AP11" s="169">
        <f t="shared" si="6"/>
        <v>11.190000000000001</v>
      </c>
      <c r="AQ11" s="169">
        <v>7.47</v>
      </c>
      <c r="AR11" s="169">
        <f t="shared" si="7"/>
        <v>10.47</v>
      </c>
      <c r="AS11" s="169">
        <v>6.97</v>
      </c>
      <c r="AT11" s="169">
        <f t="shared" si="8"/>
        <v>6.8439999999999994</v>
      </c>
      <c r="AU11" s="169">
        <v>6.55</v>
      </c>
      <c r="AV11" s="169">
        <f t="shared" si="9"/>
        <v>9.27</v>
      </c>
      <c r="AW11" s="169">
        <v>6.21</v>
      </c>
      <c r="AX11" s="169">
        <f t="shared" si="10"/>
        <v>8.91</v>
      </c>
      <c r="AY11" s="169">
        <v>5.91</v>
      </c>
      <c r="AZ11" s="169">
        <f t="shared" si="11"/>
        <v>8.5099999999999962</v>
      </c>
      <c r="BA11" s="169">
        <v>5.65</v>
      </c>
      <c r="BI11" s="8"/>
      <c r="BL11" s="161" t="str">
        <f>IF(AND($D$7&gt;BL10,$D$7&lt;BL12),$D$7,"nicht interpolieren")</f>
        <v>nicht interpolieren</v>
      </c>
      <c r="BM11" s="162" t="e">
        <f>BM10-(BM10-BM12)*(BL11-BL10)/(BL12-BL10)</f>
        <v>#VALUE!</v>
      </c>
      <c r="BO11" s="171" t="s">
        <v>148</v>
      </c>
      <c r="BP11" s="172">
        <v>8.6999999999999993</v>
      </c>
      <c r="BQ11" s="169">
        <f t="shared" si="12"/>
        <v>12.149999999999999</v>
      </c>
      <c r="BR11" s="169">
        <v>8.01</v>
      </c>
      <c r="BS11" s="169">
        <f t="shared" si="13"/>
        <v>11.25</v>
      </c>
      <c r="BT11" s="169">
        <v>7.47</v>
      </c>
      <c r="BU11" s="169">
        <f t="shared" si="14"/>
        <v>7.335</v>
      </c>
      <c r="BV11" s="169">
        <v>7.02</v>
      </c>
      <c r="BW11" s="169">
        <f t="shared" si="15"/>
        <v>9.9799999999999933</v>
      </c>
      <c r="BX11" s="169">
        <v>6.65</v>
      </c>
      <c r="BY11" s="169">
        <f t="shared" si="16"/>
        <v>9.620000000000001</v>
      </c>
      <c r="BZ11" s="169">
        <v>6.32</v>
      </c>
      <c r="CA11" s="169">
        <f t="shared" si="17"/>
        <v>9.0200000000000031</v>
      </c>
      <c r="CB11" s="169">
        <v>6.05</v>
      </c>
    </row>
    <row r="12" spans="1:80" ht="20.149999999999999" customHeight="1" x14ac:dyDescent="0.25">
      <c r="A12" s="310"/>
      <c r="B12" s="254" t="s">
        <v>18</v>
      </c>
      <c r="C12" s="232" t="s">
        <v>0</v>
      </c>
      <c r="D12" s="265">
        <v>0.73</v>
      </c>
      <c r="E12" s="235" t="str">
        <f>IF(OR(D12&lt;0.5,D12&gt;1.1),"Achtung: Trägerabstand muss zwischen 0,50 m und 1,10 m betragen!","")</f>
        <v/>
      </c>
      <c r="J12" s="161">
        <v>2.5</v>
      </c>
      <c r="K12" s="162">
        <v>0.79</v>
      </c>
      <c r="M12" s="171" t="s">
        <v>149</v>
      </c>
      <c r="N12" s="172">
        <v>5.74</v>
      </c>
      <c r="O12" s="169">
        <f t="shared" si="0"/>
        <v>7.19</v>
      </c>
      <c r="P12" s="169">
        <v>5.45</v>
      </c>
      <c r="Q12" s="169">
        <f t="shared" si="1"/>
        <v>6.8300000000000036</v>
      </c>
      <c r="R12" s="169">
        <v>5.22</v>
      </c>
      <c r="S12" s="169">
        <f t="shared" si="2"/>
        <v>5.16</v>
      </c>
      <c r="T12" s="169">
        <v>5.0199999999999996</v>
      </c>
      <c r="U12" s="169">
        <f t="shared" si="3"/>
        <v>6.4599999999999973</v>
      </c>
      <c r="V12" s="169">
        <v>4.84</v>
      </c>
      <c r="W12" s="169">
        <f t="shared" si="4"/>
        <v>6.1899999999999959</v>
      </c>
      <c r="X12" s="169">
        <v>4.6900000000000004</v>
      </c>
      <c r="Y12" s="169">
        <f t="shared" si="5"/>
        <v>5.9900000000000073</v>
      </c>
      <c r="Z12" s="169">
        <v>4.5599999999999996</v>
      </c>
      <c r="AH12" s="8"/>
      <c r="AK12" s="161">
        <v>2.5</v>
      </c>
      <c r="AL12" s="162">
        <v>0.7</v>
      </c>
      <c r="AN12" s="171" t="s">
        <v>149</v>
      </c>
      <c r="AO12" s="172">
        <v>8.82</v>
      </c>
      <c r="AP12" s="169">
        <f t="shared" si="6"/>
        <v>12.120000000000001</v>
      </c>
      <c r="AQ12" s="169">
        <v>8.16</v>
      </c>
      <c r="AR12" s="169">
        <f t="shared" si="7"/>
        <v>11.340000000000002</v>
      </c>
      <c r="AS12" s="169">
        <v>7.63</v>
      </c>
      <c r="AT12" s="169">
        <f t="shared" si="8"/>
        <v>7.4980000000000002</v>
      </c>
      <c r="AU12" s="169">
        <v>7.19</v>
      </c>
      <c r="AV12" s="169">
        <f t="shared" si="9"/>
        <v>10.150000000000002</v>
      </c>
      <c r="AW12" s="169">
        <v>6.82</v>
      </c>
      <c r="AX12" s="169">
        <f t="shared" si="10"/>
        <v>9.7000000000000028</v>
      </c>
      <c r="AY12" s="169">
        <v>6.5</v>
      </c>
      <c r="AZ12" s="169">
        <f t="shared" si="11"/>
        <v>9.199999999999994</v>
      </c>
      <c r="BA12" s="169">
        <v>6.23</v>
      </c>
      <c r="BI12" s="8"/>
      <c r="BL12" s="161">
        <v>4</v>
      </c>
      <c r="BM12" s="162">
        <v>0.66</v>
      </c>
      <c r="BO12" s="171" t="s">
        <v>149</v>
      </c>
      <c r="BP12" s="172">
        <v>9.51</v>
      </c>
      <c r="BQ12" s="169">
        <f t="shared" si="12"/>
        <v>13.160000000000004</v>
      </c>
      <c r="BR12" s="169">
        <v>8.7799999999999994</v>
      </c>
      <c r="BS12" s="169">
        <f t="shared" si="13"/>
        <v>12.26</v>
      </c>
      <c r="BT12" s="169">
        <v>8.1999999999999993</v>
      </c>
      <c r="BU12" s="169">
        <f t="shared" si="14"/>
        <v>8.0559999999999992</v>
      </c>
      <c r="BV12" s="169">
        <v>7.72</v>
      </c>
      <c r="BW12" s="169">
        <f t="shared" si="15"/>
        <v>10.919999999999996</v>
      </c>
      <c r="BX12" s="169">
        <v>7.32</v>
      </c>
      <c r="BY12" s="169">
        <f t="shared" si="16"/>
        <v>10.470000000000006</v>
      </c>
      <c r="BZ12" s="169">
        <v>6.97</v>
      </c>
      <c r="CA12" s="169">
        <f t="shared" si="17"/>
        <v>9.9699999999999953</v>
      </c>
      <c r="CB12" s="169">
        <v>6.67</v>
      </c>
    </row>
    <row r="13" spans="1:80" ht="20.149999999999999" customHeight="1" x14ac:dyDescent="0.25">
      <c r="A13" s="310"/>
      <c r="B13" s="254" t="s">
        <v>90</v>
      </c>
      <c r="C13" s="232" t="s">
        <v>0</v>
      </c>
      <c r="D13" s="668" t="s">
        <v>87</v>
      </c>
      <c r="E13" s="746" t="s">
        <v>565</v>
      </c>
      <c r="J13" s="161" t="str">
        <f>IF(AND($D$6&gt;J12,$D$6&lt;J14),$D$6,"nicht interpolieren")</f>
        <v>nicht interpolieren</v>
      </c>
      <c r="K13" s="162" t="e">
        <f>K12-(K12-K14)*(J13-J12)/(J14-J12)</f>
        <v>#VALUE!</v>
      </c>
      <c r="M13" s="173" t="s">
        <v>288</v>
      </c>
      <c r="N13" s="172">
        <v>5.78</v>
      </c>
      <c r="O13" s="169">
        <f>N13-(N13-P13)*($O$1-$N$1)/($P$1-$N$1)</f>
        <v>7.6300000000000008</v>
      </c>
      <c r="P13" s="169">
        <v>5.41</v>
      </c>
      <c r="Q13" s="169">
        <f>P13-(P13-R13)*($Q$1-$P$1)/($R$1-$P$1)</f>
        <v>7.15</v>
      </c>
      <c r="R13" s="169">
        <v>5.12</v>
      </c>
      <c r="S13" s="169">
        <f>R13-(R13-T13)*($S$1-$R$1)/($T$1-$R$1)</f>
        <v>5.0449999999999999</v>
      </c>
      <c r="T13" s="169">
        <v>4.87</v>
      </c>
      <c r="U13" s="169">
        <f>T13-(T13-V13)*($U$1-$T$1)/($V$1-$T$1)</f>
        <v>6.4700000000000024</v>
      </c>
      <c r="V13" s="169">
        <v>4.67</v>
      </c>
      <c r="W13" s="169">
        <f>V13-(V13-X13)*($W$1-$V$1)/($X$1-$V$1)</f>
        <v>6.1999999999999993</v>
      </c>
      <c r="X13" s="169">
        <v>4.5</v>
      </c>
      <c r="Y13" s="169">
        <f>X13-(X13-Z13)*($Y$1-$X$1)/($Z$1-$X$1)</f>
        <v>6.1</v>
      </c>
      <c r="Z13" s="169">
        <v>4.34</v>
      </c>
      <c r="AH13" s="8"/>
      <c r="AK13" s="161" t="str">
        <f>IF(AND($D$6&gt;AK12,$D$6&lt;AK14),$D$6,"nicht interpolieren")</f>
        <v>nicht interpolieren</v>
      </c>
      <c r="AL13" s="162" t="e">
        <f>AL12-(AL12-AL14)*(AK13-AK12)/(AK14-AK12)</f>
        <v>#VALUE!</v>
      </c>
      <c r="AN13" s="173" t="s">
        <v>288</v>
      </c>
      <c r="AO13" s="172">
        <v>8.89</v>
      </c>
      <c r="AP13" s="169">
        <f>AO13-(AO13-AQ13)*($O$1-$N$1)/($P$1-$N$1)</f>
        <v>12.540000000000003</v>
      </c>
      <c r="AQ13" s="169">
        <v>8.16</v>
      </c>
      <c r="AR13" s="169">
        <f>AQ13-(AQ13-AS13)*($Q$1-$P$1)/($R$1-$P$1)</f>
        <v>11.580000000000002</v>
      </c>
      <c r="AS13" s="169">
        <v>7.59</v>
      </c>
      <c r="AT13" s="169">
        <f>AS13-(AS13-AU13)*($S$1-$R$1)/($T$1-$R$1)</f>
        <v>7.4489999999999998</v>
      </c>
      <c r="AU13" s="169">
        <v>7.12</v>
      </c>
      <c r="AV13" s="169">
        <f>AU13-(AU13-AW13)*($U$1-$T$1)/($V$1-$T$1)</f>
        <v>10.320000000000004</v>
      </c>
      <c r="AW13" s="169">
        <v>6.72</v>
      </c>
      <c r="AX13" s="169">
        <f>AW13-(AW13-AY13)*($W$1-$V$1)/($X$1-$V$1)</f>
        <v>9.6900000000000013</v>
      </c>
      <c r="AY13" s="169">
        <v>6.39</v>
      </c>
      <c r="AZ13" s="169">
        <f>AY13-(AY13-BA13)*($Y$1-$X$1)/($Z$1-$X$1)</f>
        <v>9.2899999999999974</v>
      </c>
      <c r="BA13" s="169">
        <v>6.1</v>
      </c>
      <c r="BI13" s="8"/>
      <c r="BO13" s="173" t="s">
        <v>288</v>
      </c>
      <c r="BP13" s="172">
        <v>9.51</v>
      </c>
      <c r="BQ13" s="169">
        <f>BP13-(BP13-BR13)*($O$1-$N$1)/($P$1-$N$1)</f>
        <v>13.459999999999997</v>
      </c>
      <c r="BR13" s="169">
        <v>8.7200000000000006</v>
      </c>
      <c r="BS13" s="169">
        <f>BR13-(BR13-BT13)*($Q$1-$P$1)/($R$1-$P$1)</f>
        <v>12.440000000000008</v>
      </c>
      <c r="BT13" s="169">
        <v>8.1</v>
      </c>
      <c r="BU13" s="169">
        <f>BT13-(BT13-BV13)*($S$1-$R$1)/($T$1-$R$1)</f>
        <v>7.9499999999999993</v>
      </c>
      <c r="BV13" s="169">
        <v>7.6</v>
      </c>
      <c r="BW13" s="169">
        <f>BV13-(BV13-BX13)*($U$1-$T$1)/($V$1-$T$1)</f>
        <v>10.96</v>
      </c>
      <c r="BX13" s="169">
        <v>7.18</v>
      </c>
      <c r="BY13" s="169">
        <f>BX13-(BX13-BZ13)*($W$1-$V$1)/($X$1-$V$1)</f>
        <v>10.419999999999995</v>
      </c>
      <c r="BZ13" s="169">
        <v>6.82</v>
      </c>
      <c r="CA13" s="169">
        <f>BZ13-(BZ13-CB13)*($Y$1-$X$1)/($Z$1-$X$1)</f>
        <v>9.9200000000000017</v>
      </c>
      <c r="CB13" s="169">
        <v>6.51</v>
      </c>
    </row>
    <row r="14" spans="1:80" ht="20.149999999999999" customHeight="1" thickBot="1" x14ac:dyDescent="0.3">
      <c r="A14" s="312"/>
      <c r="B14" s="256">
        <f>D10</f>
        <v>3.5</v>
      </c>
      <c r="C14" s="152" t="str">
        <f>IF(B14&lt;D14,"&lt;","&gt;")</f>
        <v>&lt;</v>
      </c>
      <c r="D14" s="154">
        <f>MIN(H19,AI19,BJ19)</f>
        <v>4.0684259999999997</v>
      </c>
      <c r="E14" s="233"/>
      <c r="J14" s="161">
        <v>3</v>
      </c>
      <c r="K14" s="162">
        <v>0.75</v>
      </c>
      <c r="M14" s="307" t="s">
        <v>289</v>
      </c>
      <c r="N14" s="172">
        <v>6.62</v>
      </c>
      <c r="O14" s="169">
        <f>N14-(N14-P14)*($O$1-$N$1)/($P$1-$N$1)</f>
        <v>8.2700000000000014</v>
      </c>
      <c r="P14" s="169">
        <v>6.29</v>
      </c>
      <c r="Q14" s="169">
        <f>P14-(P14-R14)*($Q$1-$P$1)/($R$1-$P$1)</f>
        <v>7.9700000000000024</v>
      </c>
      <c r="R14" s="169">
        <v>6.01</v>
      </c>
      <c r="S14" s="169">
        <f>R14-(R14-T14)*($S$1-$R$1)/($T$1-$R$1)</f>
        <v>5.9409999999999998</v>
      </c>
      <c r="T14" s="169">
        <v>5.78</v>
      </c>
      <c r="U14" s="169">
        <f>T14-(T14-V14)*($U$1-$T$1)/($V$1-$T$1)</f>
        <v>7.3800000000000026</v>
      </c>
      <c r="V14" s="169">
        <v>5.58</v>
      </c>
      <c r="W14" s="169">
        <f>V14-(V14-X14)*($W$1-$V$1)/($X$1-$V$1)</f>
        <v>7.1099999999999994</v>
      </c>
      <c r="X14" s="169">
        <v>5.41</v>
      </c>
      <c r="Y14" s="169">
        <f>X14-(X14-Z14)*($Y$1-$X$1)/($Z$1-$X$1)</f>
        <v>7.01</v>
      </c>
      <c r="Z14" s="169">
        <v>5.25</v>
      </c>
      <c r="AH14" s="8"/>
      <c r="AK14" s="161">
        <v>3</v>
      </c>
      <c r="AL14" s="162">
        <v>0.65</v>
      </c>
      <c r="AN14" s="307" t="s">
        <v>289</v>
      </c>
      <c r="AO14" s="172">
        <v>9.73</v>
      </c>
      <c r="AP14" s="169">
        <f>AO14-(AO14-AQ14)*($O$1-$N$1)/($P$1-$N$1)</f>
        <v>13.380000000000003</v>
      </c>
      <c r="AQ14" s="169">
        <v>9</v>
      </c>
      <c r="AR14" s="169">
        <f>AQ14-(AQ14-AS14)*($Q$1-$P$1)/($R$1-$P$1)</f>
        <v>12.54</v>
      </c>
      <c r="AS14" s="169">
        <v>8.41</v>
      </c>
      <c r="AT14" s="169">
        <f>AS14-(AS14-AU14)*($S$1-$R$1)/($T$1-$R$1)</f>
        <v>8.266</v>
      </c>
      <c r="AU14" s="169">
        <v>7.93</v>
      </c>
      <c r="AV14" s="169">
        <f>AU14-(AU14-AW14)*($U$1-$T$1)/($V$1-$T$1)</f>
        <v>11.21</v>
      </c>
      <c r="AW14" s="169">
        <v>7.52</v>
      </c>
      <c r="AX14" s="169">
        <f>AW14-(AW14-AY14)*($W$1-$V$1)/($X$1-$V$1)</f>
        <v>10.759999999999994</v>
      </c>
      <c r="AY14" s="169">
        <v>7.16</v>
      </c>
      <c r="AZ14" s="169">
        <f>AY14-(AY14-BA14)*($Y$1-$X$1)/($Z$1-$X$1)</f>
        <v>10.159999999999997</v>
      </c>
      <c r="BA14" s="169">
        <v>6.86</v>
      </c>
      <c r="BI14" s="8"/>
      <c r="BL14" s="160" t="s">
        <v>187</v>
      </c>
      <c r="BM14" s="160" t="s">
        <v>393</v>
      </c>
      <c r="BO14" s="307" t="s">
        <v>289</v>
      </c>
      <c r="BP14" s="172">
        <v>10.49</v>
      </c>
      <c r="BQ14" s="169">
        <f>BP14-(BP14-BR14)*($O$1-$N$1)/($P$1-$N$1)</f>
        <v>14.540000000000003</v>
      </c>
      <c r="BR14" s="169">
        <v>9.68</v>
      </c>
      <c r="BS14" s="169">
        <f>BR14-(BR14-BT14)*($Q$1-$P$1)/($R$1-$P$1)</f>
        <v>13.520000000000003</v>
      </c>
      <c r="BT14" s="169">
        <v>9.0399999999999991</v>
      </c>
      <c r="BU14" s="169">
        <f>BT14-(BT14-BV14)*($S$1-$R$1)/($T$1-$R$1)</f>
        <v>8.8780000000000001</v>
      </c>
      <c r="BV14" s="169">
        <v>8.5</v>
      </c>
      <c r="BW14" s="169">
        <f>BV14-(BV14-BX14)*($U$1-$T$1)/($V$1-$T$1)</f>
        <v>12.019999999999998</v>
      </c>
      <c r="BX14" s="169">
        <v>8.06</v>
      </c>
      <c r="BY14" s="169">
        <f>BX14-(BX14-BZ14)*($W$1-$V$1)/($X$1-$V$1)</f>
        <v>11.570000000000007</v>
      </c>
      <c r="BZ14" s="169">
        <v>7.67</v>
      </c>
      <c r="CA14" s="169">
        <f>BZ14-(BZ14-CB14)*($Y$1-$X$1)/($Z$1-$X$1)</f>
        <v>10.969999999999997</v>
      </c>
      <c r="CB14" s="169">
        <v>7.34</v>
      </c>
    </row>
    <row r="15" spans="1:80" ht="20.149999999999999" customHeight="1" thickBot="1" x14ac:dyDescent="0.3">
      <c r="A15" s="310"/>
      <c r="B15" s="254"/>
      <c r="C15" s="232"/>
      <c r="D15" s="261" t="str">
        <f>IF(B14&gt;D14,"Bedingung nicht erfüllt!","Bedingung erfüllt!")</f>
        <v>Bedingung erfüllt!</v>
      </c>
      <c r="E15" s="233"/>
      <c r="M15" s="307" t="s">
        <v>491</v>
      </c>
      <c r="N15" s="172">
        <v>7.05</v>
      </c>
      <c r="O15" s="169">
        <f>N15-(N15-P15)*($O$1-$N$1)/($P$1-$N$1)</f>
        <v>8.7999999999999989</v>
      </c>
      <c r="P15" s="169">
        <v>6.7</v>
      </c>
      <c r="Q15" s="169">
        <f>P15-(P15-R15)*($Q$1-$P$1)/($R$1-$P$1)</f>
        <v>8.4400000000000013</v>
      </c>
      <c r="R15" s="169">
        <v>6.41</v>
      </c>
      <c r="S15" s="169">
        <f>R15-(R15-T15)*($S$1-$R$1)/($T$1-$R$1)</f>
        <v>6.3380000000000001</v>
      </c>
      <c r="T15" s="169">
        <v>6.17</v>
      </c>
      <c r="U15" s="169">
        <f>T15-(T15-V15)*($U$1-$T$1)/($V$1-$T$1)</f>
        <v>7.9299999999999988</v>
      </c>
      <c r="V15" s="169">
        <v>5.95</v>
      </c>
      <c r="W15" s="169">
        <f>V15-(V15-X15)*($W$1-$V$1)/($X$1-$V$1)</f>
        <v>7.6600000000000037</v>
      </c>
      <c r="X15" s="169">
        <v>5.76</v>
      </c>
      <c r="Y15" s="169">
        <f>X15-(X15-Z15)*($Y$1-$X$1)/($Z$1-$X$1)</f>
        <v>7.4599999999999973</v>
      </c>
      <c r="Z15" s="169">
        <v>5.59</v>
      </c>
      <c r="AH15" s="8"/>
      <c r="AN15" s="307" t="s">
        <v>491</v>
      </c>
      <c r="AO15" s="172">
        <v>10.69</v>
      </c>
      <c r="AP15" s="169">
        <f>AO15-(AO15-AQ15)*($O$1-$N$1)/($P$1-$N$1)</f>
        <v>14.689999999999994</v>
      </c>
      <c r="AQ15" s="169">
        <v>9.89</v>
      </c>
      <c r="AR15" s="169">
        <f>AQ15-(AQ15-AS15)*($Q$1-$P$1)/($R$1-$P$1)</f>
        <v>13.790000000000003</v>
      </c>
      <c r="AS15" s="169">
        <v>9.24</v>
      </c>
      <c r="AT15" s="169">
        <f>AS15-(AS15-AU15)*($S$1-$R$1)/($T$1-$R$1)</f>
        <v>9.0809999999999995</v>
      </c>
      <c r="AU15" s="169">
        <v>8.7100000000000009</v>
      </c>
      <c r="AV15" s="169">
        <f>AU15-(AU15-AW15)*($U$1-$T$1)/($V$1-$T$1)</f>
        <v>12.310000000000009</v>
      </c>
      <c r="AW15" s="169">
        <v>8.26</v>
      </c>
      <c r="AX15" s="169">
        <f>AW15-(AW15-AY15)*($W$1-$V$1)/($X$1-$V$1)</f>
        <v>11.769999999999998</v>
      </c>
      <c r="AY15" s="169">
        <v>7.87</v>
      </c>
      <c r="AZ15" s="169">
        <f>AY15-(AY15-BA15)*($Y$1-$X$1)/($Z$1-$X$1)</f>
        <v>11.169999999999998</v>
      </c>
      <c r="BA15" s="169">
        <v>7.54</v>
      </c>
      <c r="BI15" s="8"/>
      <c r="BL15" s="491">
        <v>1</v>
      </c>
      <c r="BM15" s="162">
        <v>1</v>
      </c>
      <c r="BO15" s="307" t="s">
        <v>491</v>
      </c>
      <c r="BP15" s="172">
        <v>11.52</v>
      </c>
      <c r="BQ15" s="169">
        <f>BP15-(BP15-BR15)*($O$1-$N$1)/($P$1-$N$1)</f>
        <v>15.969999999999995</v>
      </c>
      <c r="BR15" s="169">
        <v>10.63</v>
      </c>
      <c r="BS15" s="169">
        <f>BR15-(BR15-BT15)*($Q$1-$P$1)/($R$1-$P$1)</f>
        <v>14.830000000000009</v>
      </c>
      <c r="BT15" s="169">
        <v>9.93</v>
      </c>
      <c r="BU15" s="169">
        <f>BT15-(BT15-BV15)*($S$1-$R$1)/($T$1-$R$1)</f>
        <v>9.7530000000000001</v>
      </c>
      <c r="BV15" s="169">
        <v>9.34</v>
      </c>
      <c r="BW15" s="169">
        <f>BV15-(BV15-BX15)*($U$1-$T$1)/($V$1-$T$1)</f>
        <v>13.260000000000002</v>
      </c>
      <c r="BX15" s="169">
        <v>8.85</v>
      </c>
      <c r="BY15" s="169">
        <f>BX15-(BX15-BZ15)*($W$1-$V$1)/($X$1-$V$1)</f>
        <v>12.629999999999999</v>
      </c>
      <c r="BZ15" s="169">
        <v>8.43</v>
      </c>
      <c r="CA15" s="169">
        <f>BZ15-(BZ15-CB15)*($Y$1-$X$1)/($Z$1-$X$1)</f>
        <v>12.129999999999988</v>
      </c>
      <c r="CB15" s="169">
        <v>8.06</v>
      </c>
    </row>
    <row r="16" spans="1:80" ht="20.149999999999999" customHeight="1" thickBot="1" x14ac:dyDescent="0.3">
      <c r="A16" s="309"/>
      <c r="B16" s="236" t="s">
        <v>402</v>
      </c>
      <c r="C16" s="237" t="s">
        <v>0</v>
      </c>
      <c r="D16" s="677">
        <f>((1000/VLOOKUP('Bemessungstabelle isoliert'!D13,Daten!A22:B25,2))*D10^4/H19^3)/COS($D$9*PI()/180)</f>
        <v>11.313877170879847</v>
      </c>
      <c r="E16" s="238"/>
      <c r="J16" s="160" t="s">
        <v>166</v>
      </c>
      <c r="K16" s="160" t="s">
        <v>391</v>
      </c>
      <c r="AH16" s="8"/>
      <c r="AK16" s="160" t="s">
        <v>180</v>
      </c>
      <c r="AL16" s="160" t="s">
        <v>392</v>
      </c>
      <c r="BI16" s="8"/>
      <c r="BL16" s="491">
        <v>10</v>
      </c>
      <c r="BM16" s="162">
        <v>1</v>
      </c>
    </row>
    <row r="17" spans="1:80" ht="20.149999999999999" customHeight="1" thickBot="1" x14ac:dyDescent="0.3">
      <c r="A17" s="24"/>
      <c r="B17" s="10"/>
      <c r="C17" s="10"/>
      <c r="D17" s="13"/>
      <c r="E17" s="10"/>
      <c r="J17" s="491">
        <v>1</v>
      </c>
      <c r="K17" s="162">
        <v>1</v>
      </c>
      <c r="AH17" s="8"/>
      <c r="AK17" s="491">
        <v>1</v>
      </c>
      <c r="AL17" s="162">
        <v>1</v>
      </c>
      <c r="BI17" s="8"/>
      <c r="BL17" s="491" t="str">
        <f>IF(AND($D$9&gt;BL16,$D$9&lt;BL18),$D$9,"nicht interpolieren")</f>
        <v>nicht interpolieren</v>
      </c>
      <c r="BM17" s="492" t="e">
        <f>BM16-(BM16-BM18)*(BL17-BL16)/(BL18-BL16)</f>
        <v>#VALUE!</v>
      </c>
    </row>
    <row r="18" spans="1:80" ht="20.149999999999999" customHeight="1" x14ac:dyDescent="0.25">
      <c r="B18" s="346" t="s">
        <v>307</v>
      </c>
      <c r="C18" s="347"/>
      <c r="D18" s="348"/>
      <c r="E18" s="349"/>
      <c r="G18" s="163" t="s">
        <v>167</v>
      </c>
      <c r="H18" s="164">
        <f>O19</f>
        <v>4.1429999999999998</v>
      </c>
      <c r="J18" s="491">
        <v>10</v>
      </c>
      <c r="K18" s="162">
        <v>1</v>
      </c>
      <c r="M18" s="308" t="s">
        <v>172</v>
      </c>
      <c r="N18" s="175" t="s">
        <v>17</v>
      </c>
      <c r="O18" s="176" t="s">
        <v>21</v>
      </c>
      <c r="AH18" s="163" t="s">
        <v>181</v>
      </c>
      <c r="AI18" s="164">
        <f>AP19</f>
        <v>5.8690000000000007</v>
      </c>
      <c r="AK18" s="491">
        <v>10</v>
      </c>
      <c r="AL18" s="162">
        <v>1</v>
      </c>
      <c r="AN18" s="308" t="s">
        <v>176</v>
      </c>
      <c r="AO18" s="175" t="s">
        <v>17</v>
      </c>
      <c r="AP18" s="176" t="s">
        <v>21</v>
      </c>
      <c r="BI18" s="163" t="s">
        <v>188</v>
      </c>
      <c r="BJ18" s="164">
        <f>BQ19</f>
        <v>6.27</v>
      </c>
      <c r="BL18" s="491">
        <v>20</v>
      </c>
      <c r="BM18" s="492">
        <v>0.99</v>
      </c>
      <c r="BO18" s="308" t="s">
        <v>184</v>
      </c>
      <c r="BP18" s="175" t="s">
        <v>17</v>
      </c>
      <c r="BQ18" s="176" t="s">
        <v>21</v>
      </c>
    </row>
    <row r="19" spans="1:80" ht="20.149999999999999" customHeight="1" x14ac:dyDescent="0.25">
      <c r="B19" s="350" t="s">
        <v>28</v>
      </c>
      <c r="C19" s="351" t="s">
        <v>0</v>
      </c>
      <c r="D19" s="668" t="s">
        <v>151</v>
      </c>
      <c r="E19" s="342"/>
      <c r="G19" s="163" t="s">
        <v>238</v>
      </c>
      <c r="H19" s="164">
        <f>H18*H2*H3*H4*H5*H6</f>
        <v>4.0684259999999997</v>
      </c>
      <c r="J19" s="491" t="str">
        <f>IF(AND($D$9&gt;J18,$D$9&lt;J20),$D$9,"nicht interpolieren")</f>
        <v>nicht interpolieren</v>
      </c>
      <c r="K19" s="162" t="e">
        <f>K18-(K18-K20)*(J19-J18)/(J20-J18)</f>
        <v>#VALUE!</v>
      </c>
      <c r="M19" s="175">
        <f>IF($D$11="","",MATCH($D$11,M2:M15))</f>
        <v>9</v>
      </c>
      <c r="N19" s="175">
        <f>IF($D$12="","",MATCH($D$12,N1:Z1,0))</f>
        <v>6</v>
      </c>
      <c r="O19" s="177">
        <f>IF(OR($D$11="",$D$12=""),0,INDEX(N2:Z15,M19,N19))</f>
        <v>4.1429999999999998</v>
      </c>
      <c r="AH19" s="163" t="s">
        <v>291</v>
      </c>
      <c r="AI19" s="164">
        <f>AI18*AI2*AI3*AI4*AI5*AI6</f>
        <v>5.7046680000000007</v>
      </c>
      <c r="AK19" s="491" t="str">
        <f>IF(AND($D$9&gt;AK18,$D$9&lt;AK20),$D$9,"nicht interpolieren")</f>
        <v>nicht interpolieren</v>
      </c>
      <c r="AL19" s="162" t="e">
        <f>AL18-(AL18-AL20)*(AK19-AK18)/(AK20-AK18)</f>
        <v>#VALUE!</v>
      </c>
      <c r="AN19" s="175">
        <f>IF($D$11="","",MATCH($D$11,AN2:AN15))</f>
        <v>9</v>
      </c>
      <c r="AO19" s="175">
        <f>IF($D$12="","",MATCH($D$12,AO1:BA1,0))</f>
        <v>6</v>
      </c>
      <c r="AP19" s="177">
        <f>IF(OR($D$11="",$D$12=""),0,INDEX(AO2:BA15,AN19,AO19))</f>
        <v>5.8690000000000007</v>
      </c>
      <c r="BI19" s="163" t="s">
        <v>293</v>
      </c>
      <c r="BJ19" s="164">
        <f>BJ18*BJ2*BJ3*BJ4*BJ5*BJ6</f>
        <v>62699.999999999993</v>
      </c>
      <c r="BL19" s="491" t="str">
        <f>IF(AND($D$9&gt;BL18,$D$9&lt;BL20),$D$9,"nicht interpolieren")</f>
        <v>nicht interpolieren</v>
      </c>
      <c r="BM19" s="162" t="e">
        <f>BM18-(BM18-BM20)*(BL19-BL18)/(BL20-BL18)</f>
        <v>#VALUE!</v>
      </c>
      <c r="BO19" s="175">
        <f>IF($D$11="","",MATCH($D$11,BO2:BO15))</f>
        <v>9</v>
      </c>
      <c r="BP19" s="175">
        <f>IF($D$12="","",MATCH($D$12,BP1:CB1,0))</f>
        <v>6</v>
      </c>
      <c r="BQ19" s="177">
        <f>IF(OR($D$11="",$D$12=""),0,INDEX(BP2:CB15,BO19,BP19))</f>
        <v>6.27</v>
      </c>
    </row>
    <row r="20" spans="1:80" ht="20.149999999999999" customHeight="1" x14ac:dyDescent="0.25">
      <c r="B20" s="339">
        <f>D10</f>
        <v>3.5</v>
      </c>
      <c r="C20" s="340" t="str">
        <f>IF(B20&lt;D20,"&lt;","&gt;")</f>
        <v>&lt;</v>
      </c>
      <c r="D20" s="341">
        <f>MIN(H32,AI32,BJ32)</f>
        <v>4.3227640000000003</v>
      </c>
      <c r="E20" s="342"/>
      <c r="J20" s="491">
        <v>20</v>
      </c>
      <c r="K20" s="492">
        <v>0.96</v>
      </c>
      <c r="AK20" s="491">
        <v>20</v>
      </c>
      <c r="AL20" s="492">
        <v>0.97</v>
      </c>
      <c r="BL20" s="491">
        <v>30</v>
      </c>
      <c r="BM20" s="162">
        <v>0.98</v>
      </c>
    </row>
    <row r="21" spans="1:80" ht="20.149999999999999" customHeight="1" x14ac:dyDescent="0.25">
      <c r="B21" s="352"/>
      <c r="C21" s="344"/>
      <c r="D21" s="345" t="str">
        <f>IF(B20&gt;D20,"Bedingung nicht erfüllt!","Bedingung erfüllt!")</f>
        <v>Bedingung erfüllt!</v>
      </c>
      <c r="E21" s="342"/>
      <c r="I21" s="108"/>
      <c r="J21" s="491" t="str">
        <f>IF(AND($D$9&gt;J20,$D$9&lt;J22),$D$9,"nicht interpolieren")</f>
        <v>nicht interpolieren</v>
      </c>
      <c r="K21" s="162" t="e">
        <f>K20-(K20-K22)*(J21-J20)/(J22-J20)</f>
        <v>#VALUE!</v>
      </c>
      <c r="AD21" s="108"/>
      <c r="AK21" s="491" t="str">
        <f>IF(AND($D$9&gt;AK20,$D$9&lt;AK22),$D$9,"nicht interpolieren")</f>
        <v>nicht interpolieren</v>
      </c>
      <c r="AL21" s="162" t="e">
        <f>AL20-(AL20-AL22)*(AK21-AK20)/(AK22-AK20)</f>
        <v>#VALUE!</v>
      </c>
      <c r="AY21" s="108"/>
      <c r="AZ21" s="108"/>
      <c r="BA21" s="108"/>
    </row>
    <row r="22" spans="1:80" ht="20.149999999999999" customHeight="1" thickBot="1" x14ac:dyDescent="0.3">
      <c r="B22" s="336" t="s">
        <v>402</v>
      </c>
      <c r="C22" s="337" t="s">
        <v>0</v>
      </c>
      <c r="D22" s="678">
        <f>((1000/VLOOKUP('Bemessungstabelle isoliert'!D13,Daten!A22:B25,2))*D10^4/H32^3)/COS($D$9*PI()/180)</f>
        <v>9.4320510953262335</v>
      </c>
      <c r="E22" s="338"/>
      <c r="I22" s="111"/>
      <c r="J22" s="491">
        <v>30</v>
      </c>
      <c r="K22" s="162">
        <v>0.91</v>
      </c>
      <c r="AD22" s="111"/>
      <c r="AK22" s="491">
        <v>30</v>
      </c>
      <c r="AL22" s="162">
        <v>0.93</v>
      </c>
      <c r="AY22" s="111"/>
      <c r="AZ22" s="111"/>
      <c r="BA22" s="111"/>
    </row>
    <row r="23" spans="1:80" ht="20.149999999999999" customHeight="1" thickBot="1" x14ac:dyDescent="0.3">
      <c r="B23" s="311"/>
      <c r="C23" s="102"/>
      <c r="D23" s="343"/>
      <c r="E23" s="24"/>
      <c r="I23" s="111"/>
      <c r="J23" s="111"/>
      <c r="K23" s="111"/>
      <c r="AD23" s="111"/>
      <c r="AE23" s="111"/>
      <c r="AF23" s="111"/>
      <c r="AY23" s="111"/>
      <c r="AZ23" s="111"/>
      <c r="BA23" s="111"/>
    </row>
    <row r="24" spans="1:80" ht="20.149999999999999" customHeight="1" thickBot="1" x14ac:dyDescent="0.3">
      <c r="B24" s="358" t="s">
        <v>553</v>
      </c>
      <c r="C24" s="359"/>
      <c r="D24" s="360"/>
      <c r="E24" s="361"/>
      <c r="G24" s="765" t="s">
        <v>217</v>
      </c>
      <c r="H24" s="766"/>
      <c r="I24" s="107"/>
      <c r="J24" s="107"/>
      <c r="K24" s="107"/>
      <c r="M24" s="321" t="s">
        <v>28</v>
      </c>
      <c r="N24" s="322">
        <v>0.5</v>
      </c>
      <c r="O24" s="322">
        <f>IF(AND($D$12&gt;0.5,$D$12&lt;0.6),$D$12,0)</f>
        <v>0</v>
      </c>
      <c r="P24" s="322">
        <v>0.6</v>
      </c>
      <c r="Q24" s="322">
        <f>IF(AND($D$12&gt;0.6,$D$12&lt;0.7),$D$12,0)</f>
        <v>0</v>
      </c>
      <c r="R24" s="322">
        <v>0.7</v>
      </c>
      <c r="S24" s="322">
        <f>IF(AND($D$12&gt;0.7,$D$12&lt;0.8),$D$12,0)</f>
        <v>0.73</v>
      </c>
      <c r="T24" s="322">
        <v>0.8</v>
      </c>
      <c r="U24" s="322">
        <f>IF(AND($D$12&gt;0.8,$D$12&lt;0.9),$D$12,0)</f>
        <v>0</v>
      </c>
      <c r="V24" s="322">
        <v>0.9</v>
      </c>
      <c r="W24" s="322">
        <f>IF(AND($D$12&gt;0.9,$D$12&lt;1),$D$12,0)</f>
        <v>0</v>
      </c>
      <c r="X24" s="322">
        <v>1</v>
      </c>
      <c r="Y24" s="322">
        <f>IF(AND($D$12&gt;1,$D$12&lt;1.1),$D$12,0)</f>
        <v>0</v>
      </c>
      <c r="Z24" s="323">
        <v>1.1000000000000001</v>
      </c>
      <c r="AD24" s="107"/>
      <c r="AH24" s="765" t="s">
        <v>310</v>
      </c>
      <c r="AI24" s="766"/>
      <c r="AN24" s="321" t="s">
        <v>28</v>
      </c>
      <c r="AO24" s="322">
        <v>0.5</v>
      </c>
      <c r="AP24" s="322">
        <f>IF(AND($D$12&gt;0.5,$D$12&lt;0.6),$D$12,0)</f>
        <v>0</v>
      </c>
      <c r="AQ24" s="322">
        <v>0.6</v>
      </c>
      <c r="AR24" s="322">
        <f>IF(AND($D$12&gt;0.6,$D$12&lt;0.7),$D$12,0)</f>
        <v>0</v>
      </c>
      <c r="AS24" s="322">
        <v>0.7</v>
      </c>
      <c r="AT24" s="322">
        <f>IF(AND($D$12&gt;0.7,$D$12&lt;0.8),$D$12,0)</f>
        <v>0.73</v>
      </c>
      <c r="AU24" s="322">
        <v>0.8</v>
      </c>
      <c r="AV24" s="322">
        <f>IF(AND($D$12&gt;0.8,$D$12&lt;0.9),$D$12,0)</f>
        <v>0</v>
      </c>
      <c r="AW24" s="322">
        <v>0.9</v>
      </c>
      <c r="AX24" s="322">
        <f>IF(AND($D$12&gt;0.9,$D$12&lt;1),$D$12,0)</f>
        <v>0</v>
      </c>
      <c r="AY24" s="322">
        <v>1</v>
      </c>
      <c r="AZ24" s="322">
        <f>IF(AND($D$12&gt;1,$D$12&lt;1.1),$D$12,0)</f>
        <v>0</v>
      </c>
      <c r="BA24" s="323">
        <v>1.1000000000000001</v>
      </c>
      <c r="BI24" s="765" t="s">
        <v>314</v>
      </c>
      <c r="BJ24" s="766"/>
      <c r="BO24" s="321" t="s">
        <v>28</v>
      </c>
      <c r="BP24" s="322">
        <v>0.5</v>
      </c>
      <c r="BQ24" s="322">
        <f>IF(AND($D$12&gt;0.5,$D$12&lt;0.6),$D$12,0)</f>
        <v>0</v>
      </c>
      <c r="BR24" s="322">
        <v>0.6</v>
      </c>
      <c r="BS24" s="322">
        <f>IF(AND($D$12&gt;0.6,$D$12&lt;0.7),$D$12,0)</f>
        <v>0</v>
      </c>
      <c r="BT24" s="322">
        <v>0.7</v>
      </c>
      <c r="BU24" s="322">
        <f>IF(AND($D$12&gt;0.7,$D$12&lt;0.8),$D$12,0)</f>
        <v>0.73</v>
      </c>
      <c r="BV24" s="322">
        <v>0.8</v>
      </c>
      <c r="BW24" s="322">
        <f>IF(AND($D$12&gt;0.8,$D$12&lt;0.9),$D$12,0)</f>
        <v>0</v>
      </c>
      <c r="BX24" s="322">
        <v>0.9</v>
      </c>
      <c r="BY24" s="322">
        <f>IF(AND($D$12&gt;0.9,$D$12&lt;1),$D$12,0)</f>
        <v>0</v>
      </c>
      <c r="BZ24" s="322">
        <v>1</v>
      </c>
      <c r="CA24" s="322">
        <f>IF(AND($D$12&gt;1,$D$12&lt;1.1),$D$12,0)</f>
        <v>0</v>
      </c>
      <c r="CB24" s="323">
        <v>1.1000000000000001</v>
      </c>
    </row>
    <row r="25" spans="1:80" ht="20.149999999999999" customHeight="1" x14ac:dyDescent="0.25">
      <c r="B25" s="362" t="s">
        <v>93</v>
      </c>
      <c r="C25" s="363" t="s">
        <v>0</v>
      </c>
      <c r="D25" s="265">
        <v>5.0999999999999996</v>
      </c>
      <c r="E25" s="357"/>
      <c r="G25" s="317" t="s">
        <v>191</v>
      </c>
      <c r="H25" s="496">
        <f>H2</f>
        <v>1</v>
      </c>
      <c r="I25" s="107"/>
      <c r="J25" s="107"/>
      <c r="K25" s="107"/>
      <c r="M25" s="324" t="s">
        <v>26</v>
      </c>
      <c r="N25" s="325">
        <v>2.98</v>
      </c>
      <c r="O25" s="326">
        <f t="shared" ref="O25:O30" si="18">N25-(N25-P25)*($O$24-$N$24)/($P$24-$N$24)</f>
        <v>3.7800000000000011</v>
      </c>
      <c r="P25" s="325">
        <v>2.82</v>
      </c>
      <c r="Q25" s="326">
        <f t="shared" ref="Q25:Q30" si="19">P25-(P25-R25)*($Q$24-$P$24)/($R$24-$P$24)</f>
        <v>3.5399999999999983</v>
      </c>
      <c r="R25" s="325">
        <v>2.7</v>
      </c>
      <c r="S25" s="326">
        <f t="shared" ref="S25:S30" si="20">R25-(R25-T25)*($S$24-$R$24)/($T$24-$R$24)</f>
        <v>2.6670000000000003</v>
      </c>
      <c r="T25" s="325">
        <v>2.59</v>
      </c>
      <c r="U25" s="326">
        <f t="shared" ref="U25:U30" si="21">T25-(T25-V25)*($U$24-$T$24)/($V$24-$T$24)</f>
        <v>3.3099999999999987</v>
      </c>
      <c r="V25" s="325">
        <v>2.5</v>
      </c>
      <c r="W25" s="326">
        <f t="shared" ref="W25:W30" si="22">V25-(V25-X25)*($W$24-$V$24)/($X$24-$V$24)</f>
        <v>3.2200000000000006</v>
      </c>
      <c r="X25" s="325">
        <v>2.42</v>
      </c>
      <c r="Y25" s="326">
        <f t="shared" ref="Y25:Y30" si="23">X25-(X25-Z25)*($Y$24-$X$24)/($Z$24-$X$24)</f>
        <v>3.1199999999999974</v>
      </c>
      <c r="Z25" s="325">
        <v>2.35</v>
      </c>
      <c r="AD25" s="107"/>
      <c r="AH25" s="317" t="s">
        <v>197</v>
      </c>
      <c r="AI25" s="496">
        <f>AI2</f>
        <v>1</v>
      </c>
      <c r="AN25" s="324" t="s">
        <v>26</v>
      </c>
      <c r="AO25" s="325">
        <v>3.77</v>
      </c>
      <c r="AP25" s="326">
        <f t="shared" ref="AP25:AP30" si="24">AO25-(AO25-AQ25)*($O$24-$N$24)/($P$24-$N$24)</f>
        <v>5.2200000000000006</v>
      </c>
      <c r="AQ25" s="325">
        <v>3.48</v>
      </c>
      <c r="AR25" s="326">
        <f t="shared" ref="AR25:AR30" si="25">AQ25-(AQ25-AS25)*($Q$24-$P$24)/($R$24-$P$24)</f>
        <v>4.919999999999999</v>
      </c>
      <c r="AS25" s="325">
        <v>3.24</v>
      </c>
      <c r="AT25" s="326">
        <f t="shared" ref="AT25:AT30" si="26">AS25-(AS25-AU25)*($S$24-$R$24)/($T$24-$R$24)</f>
        <v>3.1830000000000003</v>
      </c>
      <c r="AU25" s="325">
        <v>3.05</v>
      </c>
      <c r="AV25" s="326">
        <f t="shared" ref="AV25:AV30" si="27">AU25-(AU25-AW25)*($U$24-$T$24)/($V$24-$T$24)</f>
        <v>4.3299999999999974</v>
      </c>
      <c r="AW25" s="325">
        <v>2.89</v>
      </c>
      <c r="AX25" s="326">
        <f t="shared" ref="AX25:AX30" si="28">AW25-(AW25-AY25)*($W$24-$V$24)/($X$24-$V$24)</f>
        <v>4.1500000000000012</v>
      </c>
      <c r="AY25" s="325">
        <v>2.75</v>
      </c>
      <c r="AZ25" s="326">
        <f t="shared" ref="AZ25:AZ30" si="29">AY25-(AY25-BA25)*($Y$24-$X$24)/($Z$24-$X$24)</f>
        <v>3.95</v>
      </c>
      <c r="BA25" s="325">
        <v>2.63</v>
      </c>
      <c r="BI25" s="317" t="s">
        <v>203</v>
      </c>
      <c r="BJ25" s="496">
        <f>BJ2</f>
        <v>1</v>
      </c>
      <c r="BO25" s="324" t="s">
        <v>26</v>
      </c>
      <c r="BP25" s="325">
        <v>4.01</v>
      </c>
      <c r="BQ25" s="326">
        <f t="shared" ref="BQ25:BQ30" si="30">BP25-(BP25-BR25)*($O$24-$N$24)/($P$24-$N$24)</f>
        <v>5.5599999999999987</v>
      </c>
      <c r="BR25" s="325">
        <v>3.7</v>
      </c>
      <c r="BS25" s="326">
        <f t="shared" ref="BS25:BS30" si="31">BR25-(BR25-BT25)*($Q$24-$P$24)/($R$24-$P$24)</f>
        <v>5.1400000000000015</v>
      </c>
      <c r="BT25" s="325">
        <v>3.46</v>
      </c>
      <c r="BU25" s="326">
        <f t="shared" ref="BU25:BU30" si="32">BT25-(BT25-BV25)*($S$24-$R$24)/($T$24-$R$24)</f>
        <v>3.3969999999999998</v>
      </c>
      <c r="BV25" s="325">
        <v>3.25</v>
      </c>
      <c r="BW25" s="326">
        <f t="shared" ref="BW25:BW30" si="33">BV25-(BV25-BX25)*($U$24-$T$24)/($V$24-$T$24)</f>
        <v>4.6099999999999994</v>
      </c>
      <c r="BX25" s="325">
        <v>3.08</v>
      </c>
      <c r="BY25" s="326">
        <f t="shared" ref="BY25:BY30" si="34">BX25-(BX25-BZ25)*($W$24-$V$24)/($X$24-$V$24)</f>
        <v>4.43</v>
      </c>
      <c r="BZ25" s="325">
        <v>2.93</v>
      </c>
      <c r="CA25" s="326">
        <f t="shared" ref="CA25:CA30" si="35">BZ25-(BZ25-CB25)*($Y$24-$X$24)/($Z$24-$X$24)</f>
        <v>4.13</v>
      </c>
      <c r="CB25" s="325">
        <v>2.81</v>
      </c>
    </row>
    <row r="26" spans="1:80" ht="20.149999999999999" customHeight="1" x14ac:dyDescent="0.25">
      <c r="B26" s="364" t="s">
        <v>29</v>
      </c>
      <c r="C26" s="365" t="s">
        <v>0</v>
      </c>
      <c r="D26" s="668" t="s">
        <v>545</v>
      </c>
      <c r="E26" s="357"/>
      <c r="G26" s="318" t="s">
        <v>305</v>
      </c>
      <c r="H26" s="497">
        <f>H3</f>
        <v>0.98199999999999998</v>
      </c>
      <c r="I26" s="10"/>
      <c r="J26" s="10"/>
      <c r="K26" s="10"/>
      <c r="M26" s="327" t="s">
        <v>27</v>
      </c>
      <c r="N26" s="325">
        <v>3.28</v>
      </c>
      <c r="O26" s="326">
        <f t="shared" si="18"/>
        <v>4.2299999999999995</v>
      </c>
      <c r="P26" s="325">
        <v>3.09</v>
      </c>
      <c r="Q26" s="326">
        <f t="shared" si="19"/>
        <v>4.049999999999998</v>
      </c>
      <c r="R26" s="325">
        <v>2.93</v>
      </c>
      <c r="S26" s="326">
        <f t="shared" si="20"/>
        <v>2.891</v>
      </c>
      <c r="T26" s="325">
        <v>2.8</v>
      </c>
      <c r="U26" s="326">
        <f t="shared" si="21"/>
        <v>3.6799999999999993</v>
      </c>
      <c r="V26" s="325">
        <v>2.69</v>
      </c>
      <c r="W26" s="326">
        <f t="shared" si="22"/>
        <v>3.4999999999999991</v>
      </c>
      <c r="X26" s="325">
        <v>2.6</v>
      </c>
      <c r="Y26" s="326">
        <f t="shared" si="23"/>
        <v>3.5000000000000022</v>
      </c>
      <c r="Z26" s="325">
        <v>2.5099999999999998</v>
      </c>
      <c r="AD26" s="10"/>
      <c r="AH26" s="318" t="s">
        <v>311</v>
      </c>
      <c r="AI26" s="497">
        <f>AI3</f>
        <v>0.97199999999999998</v>
      </c>
      <c r="AN26" s="327" t="s">
        <v>27</v>
      </c>
      <c r="AO26" s="325">
        <v>4.91</v>
      </c>
      <c r="AP26" s="326">
        <f t="shared" si="24"/>
        <v>6.8100000000000005</v>
      </c>
      <c r="AQ26" s="325">
        <v>4.53</v>
      </c>
      <c r="AR26" s="326">
        <f t="shared" si="25"/>
        <v>6.3299999999999992</v>
      </c>
      <c r="AS26" s="325">
        <v>4.2300000000000004</v>
      </c>
      <c r="AT26" s="326">
        <f t="shared" si="26"/>
        <v>4.1550000000000002</v>
      </c>
      <c r="AU26" s="325">
        <v>3.98</v>
      </c>
      <c r="AV26" s="326">
        <f t="shared" si="27"/>
        <v>5.66</v>
      </c>
      <c r="AW26" s="325">
        <v>3.77</v>
      </c>
      <c r="AX26" s="326">
        <f t="shared" si="28"/>
        <v>5.3900000000000023</v>
      </c>
      <c r="AY26" s="325">
        <v>3.59</v>
      </c>
      <c r="AZ26" s="326">
        <f t="shared" si="29"/>
        <v>5.1899999999999959</v>
      </c>
      <c r="BA26" s="325">
        <v>3.43</v>
      </c>
      <c r="BI26" s="318" t="s">
        <v>315</v>
      </c>
      <c r="BJ26" s="497">
        <f>BJ3</f>
        <v>10000</v>
      </c>
      <c r="BO26" s="327" t="s">
        <v>27</v>
      </c>
      <c r="BP26" s="325">
        <v>5.24</v>
      </c>
      <c r="BQ26" s="326">
        <f t="shared" si="30"/>
        <v>7.2900000000000009</v>
      </c>
      <c r="BR26" s="325">
        <v>4.83</v>
      </c>
      <c r="BS26" s="326">
        <f t="shared" si="31"/>
        <v>6.7500000000000018</v>
      </c>
      <c r="BT26" s="325">
        <v>4.51</v>
      </c>
      <c r="BU26" s="326">
        <f t="shared" si="32"/>
        <v>4.4290000000000003</v>
      </c>
      <c r="BV26" s="325">
        <v>4.24</v>
      </c>
      <c r="BW26" s="326">
        <f t="shared" si="33"/>
        <v>6.0800000000000045</v>
      </c>
      <c r="BX26" s="325">
        <v>4.01</v>
      </c>
      <c r="BY26" s="326">
        <f t="shared" si="34"/>
        <v>5.72</v>
      </c>
      <c r="BZ26" s="325">
        <v>3.82</v>
      </c>
      <c r="CA26" s="326">
        <f t="shared" si="35"/>
        <v>5.4199999999999955</v>
      </c>
      <c r="CB26" s="325">
        <v>3.66</v>
      </c>
    </row>
    <row r="27" spans="1:80" ht="20.149999999999999" customHeight="1" x14ac:dyDescent="0.25">
      <c r="B27" s="364" t="s">
        <v>90</v>
      </c>
      <c r="C27" s="365" t="s">
        <v>0</v>
      </c>
      <c r="D27" s="668" t="s">
        <v>89</v>
      </c>
      <c r="E27" s="746" t="s">
        <v>565</v>
      </c>
      <c r="G27" s="319" t="s">
        <v>193</v>
      </c>
      <c r="H27" s="498">
        <f>H4</f>
        <v>1</v>
      </c>
      <c r="M27" s="328" t="s">
        <v>150</v>
      </c>
      <c r="N27" s="325">
        <v>4.1100000000000003</v>
      </c>
      <c r="O27" s="326">
        <f t="shared" si="18"/>
        <v>5.1600000000000028</v>
      </c>
      <c r="P27" s="325">
        <v>3.9</v>
      </c>
      <c r="Q27" s="326">
        <f t="shared" si="19"/>
        <v>4.92</v>
      </c>
      <c r="R27" s="325">
        <v>3.73</v>
      </c>
      <c r="S27" s="326">
        <f t="shared" si="20"/>
        <v>3.6850000000000001</v>
      </c>
      <c r="T27" s="325">
        <v>3.58</v>
      </c>
      <c r="U27" s="326">
        <f t="shared" si="21"/>
        <v>4.6199999999999992</v>
      </c>
      <c r="V27" s="325">
        <v>3.45</v>
      </c>
      <c r="W27" s="326">
        <f t="shared" si="22"/>
        <v>4.4400000000000031</v>
      </c>
      <c r="X27" s="325">
        <v>3.34</v>
      </c>
      <c r="Y27" s="326">
        <f t="shared" si="23"/>
        <v>4.2399999999999975</v>
      </c>
      <c r="Z27" s="325">
        <v>3.25</v>
      </c>
      <c r="AH27" s="319" t="s">
        <v>199</v>
      </c>
      <c r="AI27" s="498">
        <f>AI4</f>
        <v>1</v>
      </c>
      <c r="AN27" s="328" t="s">
        <v>150</v>
      </c>
      <c r="AO27" s="325">
        <v>5.19</v>
      </c>
      <c r="AP27" s="326">
        <f t="shared" si="24"/>
        <v>7.1900000000000031</v>
      </c>
      <c r="AQ27" s="325">
        <v>4.79</v>
      </c>
      <c r="AR27" s="326">
        <f t="shared" si="25"/>
        <v>6.6499999999999977</v>
      </c>
      <c r="AS27" s="325">
        <v>4.4800000000000004</v>
      </c>
      <c r="AT27" s="326">
        <f t="shared" si="26"/>
        <v>4.399</v>
      </c>
      <c r="AU27" s="325">
        <v>4.21</v>
      </c>
      <c r="AV27" s="326">
        <f t="shared" si="27"/>
        <v>5.9699999999999989</v>
      </c>
      <c r="AW27" s="325">
        <v>3.99</v>
      </c>
      <c r="AX27" s="326">
        <f t="shared" si="28"/>
        <v>5.7000000000000037</v>
      </c>
      <c r="AY27" s="325">
        <v>3.8</v>
      </c>
      <c r="AZ27" s="326">
        <f t="shared" si="29"/>
        <v>5.399999999999995</v>
      </c>
      <c r="BA27" s="325">
        <v>3.64</v>
      </c>
      <c r="BI27" s="319" t="s">
        <v>204</v>
      </c>
      <c r="BJ27" s="498">
        <f>BJ4</f>
        <v>1</v>
      </c>
      <c r="BO27" s="328" t="s">
        <v>150</v>
      </c>
      <c r="BP27" s="325">
        <v>5.54</v>
      </c>
      <c r="BQ27" s="326">
        <f t="shared" si="30"/>
        <v>7.6899999999999995</v>
      </c>
      <c r="BR27" s="325">
        <v>5.1100000000000003</v>
      </c>
      <c r="BS27" s="326">
        <f t="shared" si="31"/>
        <v>7.1500000000000057</v>
      </c>
      <c r="BT27" s="325">
        <v>4.7699999999999996</v>
      </c>
      <c r="BU27" s="326">
        <f t="shared" si="32"/>
        <v>4.6859999999999999</v>
      </c>
      <c r="BV27" s="325">
        <v>4.49</v>
      </c>
      <c r="BW27" s="326">
        <f t="shared" si="33"/>
        <v>6.3300000000000045</v>
      </c>
      <c r="BX27" s="325">
        <v>4.26</v>
      </c>
      <c r="BY27" s="326">
        <f t="shared" si="34"/>
        <v>6.0600000000000023</v>
      </c>
      <c r="BZ27" s="325">
        <v>4.0599999999999996</v>
      </c>
      <c r="CA27" s="326">
        <f t="shared" si="35"/>
        <v>5.859999999999995</v>
      </c>
      <c r="CB27" s="325">
        <v>3.88</v>
      </c>
    </row>
    <row r="28" spans="1:80" ht="20.149999999999999" customHeight="1" x14ac:dyDescent="0.25">
      <c r="B28" s="354">
        <f>D25</f>
        <v>5.0999999999999996</v>
      </c>
      <c r="C28" s="355" t="str">
        <f>IF(B28&lt;D28,"&lt;","&gt;")</f>
        <v>&gt;</v>
      </c>
      <c r="D28" s="356">
        <f>MIN(H53,AI53,BJ53)</f>
        <v>2.7583177050000001</v>
      </c>
      <c r="E28" s="357"/>
      <c r="G28" s="319" t="s">
        <v>194</v>
      </c>
      <c r="H28" s="498">
        <f>H5</f>
        <v>1</v>
      </c>
      <c r="M28" s="329" t="s">
        <v>151</v>
      </c>
      <c r="N28" s="325">
        <v>4.87</v>
      </c>
      <c r="O28" s="326">
        <f t="shared" si="18"/>
        <v>6.0200000000000022</v>
      </c>
      <c r="P28" s="325">
        <v>4.6399999999999997</v>
      </c>
      <c r="Q28" s="326">
        <f t="shared" si="19"/>
        <v>5.7799999999999967</v>
      </c>
      <c r="R28" s="325">
        <v>4.45</v>
      </c>
      <c r="S28" s="326">
        <f t="shared" si="20"/>
        <v>4.4020000000000001</v>
      </c>
      <c r="T28" s="325">
        <v>4.29</v>
      </c>
      <c r="U28" s="326">
        <f t="shared" si="21"/>
        <v>5.4099999999999975</v>
      </c>
      <c r="V28" s="325">
        <v>4.1500000000000004</v>
      </c>
      <c r="W28" s="326">
        <f t="shared" si="22"/>
        <v>5.3200000000000074</v>
      </c>
      <c r="X28" s="325">
        <v>4.0199999999999996</v>
      </c>
      <c r="Y28" s="326">
        <f t="shared" si="23"/>
        <v>5.119999999999993</v>
      </c>
      <c r="Z28" s="325">
        <v>3.91</v>
      </c>
      <c r="AH28" s="319" t="s">
        <v>200</v>
      </c>
      <c r="AI28" s="498">
        <f>AI5</f>
        <v>1</v>
      </c>
      <c r="AN28" s="329" t="s">
        <v>151</v>
      </c>
      <c r="AO28" s="325">
        <v>6.73</v>
      </c>
      <c r="AP28" s="326">
        <f t="shared" si="24"/>
        <v>14.080000000000005</v>
      </c>
      <c r="AQ28" s="325">
        <v>5.26</v>
      </c>
      <c r="AR28" s="326">
        <f t="shared" si="25"/>
        <v>1.5999999999999974</v>
      </c>
      <c r="AS28" s="325">
        <v>5.87</v>
      </c>
      <c r="AT28" s="326">
        <f t="shared" si="26"/>
        <v>5.774</v>
      </c>
      <c r="AU28" s="325">
        <v>5.55</v>
      </c>
      <c r="AV28" s="326">
        <f t="shared" si="27"/>
        <v>7.7900000000000027</v>
      </c>
      <c r="AW28" s="325">
        <v>5.27</v>
      </c>
      <c r="AX28" s="326">
        <f t="shared" si="28"/>
        <v>7.3399999999999963</v>
      </c>
      <c r="AY28" s="325">
        <v>5.04</v>
      </c>
      <c r="AZ28" s="326">
        <f t="shared" si="29"/>
        <v>7.1399999999999979</v>
      </c>
      <c r="BA28" s="325">
        <v>4.83</v>
      </c>
      <c r="BI28" s="319" t="s">
        <v>205</v>
      </c>
      <c r="BJ28" s="498">
        <f>BJ5</f>
        <v>1</v>
      </c>
      <c r="BO28" s="329" t="s">
        <v>151</v>
      </c>
      <c r="BP28" s="325">
        <v>7.23</v>
      </c>
      <c r="BQ28" s="326">
        <f t="shared" si="30"/>
        <v>9.8300000000000036</v>
      </c>
      <c r="BR28" s="325">
        <v>6.71</v>
      </c>
      <c r="BS28" s="326">
        <f t="shared" si="31"/>
        <v>9.23</v>
      </c>
      <c r="BT28" s="325">
        <v>6.29</v>
      </c>
      <c r="BU28" s="326">
        <f t="shared" si="32"/>
        <v>6.1850000000000005</v>
      </c>
      <c r="BV28" s="325">
        <v>5.94</v>
      </c>
      <c r="BW28" s="326">
        <f t="shared" si="33"/>
        <v>8.2600000000000016</v>
      </c>
      <c r="BX28" s="325">
        <v>5.65</v>
      </c>
      <c r="BY28" s="326">
        <f t="shared" si="34"/>
        <v>7.9900000000000073</v>
      </c>
      <c r="BZ28" s="325">
        <v>5.39</v>
      </c>
      <c r="CA28" s="326">
        <f t="shared" si="35"/>
        <v>7.6899999999999924</v>
      </c>
      <c r="CB28" s="325">
        <v>5.16</v>
      </c>
    </row>
    <row r="29" spans="1:80" ht="20.149999999999999" customHeight="1" x14ac:dyDescent="0.25">
      <c r="B29" s="366"/>
      <c r="C29" s="353"/>
      <c r="D29" s="488" t="str">
        <f>IF(B28&gt;D28,"Bedingung nicht erfüllt!","Bedingung erfüllt!")</f>
        <v>Bedingung nicht erfüllt!</v>
      </c>
      <c r="E29" s="357"/>
      <c r="G29" s="319" t="s">
        <v>306</v>
      </c>
      <c r="H29" s="498">
        <f>H6</f>
        <v>1</v>
      </c>
      <c r="M29" s="330" t="s">
        <v>308</v>
      </c>
      <c r="N29" s="325">
        <v>5.6</v>
      </c>
      <c r="O29" s="326">
        <f t="shared" si="18"/>
        <v>7.05</v>
      </c>
      <c r="P29" s="325">
        <v>5.31</v>
      </c>
      <c r="Q29" s="326">
        <f t="shared" si="19"/>
        <v>6.6899999999999968</v>
      </c>
      <c r="R29" s="325">
        <v>5.08</v>
      </c>
      <c r="S29" s="326">
        <f t="shared" si="20"/>
        <v>5.0199999999999996</v>
      </c>
      <c r="T29" s="325">
        <v>4.88</v>
      </c>
      <c r="U29" s="326">
        <f t="shared" si="21"/>
        <v>6.24</v>
      </c>
      <c r="V29" s="325">
        <v>4.71</v>
      </c>
      <c r="W29" s="326">
        <f t="shared" si="22"/>
        <v>6.0600000000000032</v>
      </c>
      <c r="X29" s="325">
        <v>4.5599999999999996</v>
      </c>
      <c r="Y29" s="326">
        <f t="shared" si="23"/>
        <v>5.8599999999999977</v>
      </c>
      <c r="Z29" s="325">
        <v>4.43</v>
      </c>
      <c r="AH29" s="319" t="s">
        <v>312</v>
      </c>
      <c r="AI29" s="498">
        <f>AI6</f>
        <v>1</v>
      </c>
      <c r="AN29" s="330" t="s">
        <v>308</v>
      </c>
      <c r="AO29" s="325">
        <v>7.55</v>
      </c>
      <c r="AP29" s="326">
        <f t="shared" si="24"/>
        <v>10.399999999999997</v>
      </c>
      <c r="AQ29" s="325">
        <v>6.98</v>
      </c>
      <c r="AR29" s="326">
        <f t="shared" si="25"/>
        <v>9.7400000000000055</v>
      </c>
      <c r="AS29" s="325">
        <v>6.52</v>
      </c>
      <c r="AT29" s="326">
        <f t="shared" si="26"/>
        <v>6.4089999999999998</v>
      </c>
      <c r="AU29" s="325">
        <v>6.15</v>
      </c>
      <c r="AV29" s="326">
        <f t="shared" si="27"/>
        <v>8.7100000000000026</v>
      </c>
      <c r="AW29" s="325">
        <v>5.83</v>
      </c>
      <c r="AX29" s="326">
        <f t="shared" si="28"/>
        <v>8.3500000000000032</v>
      </c>
      <c r="AY29" s="325">
        <v>5.55</v>
      </c>
      <c r="AZ29" s="326">
        <f t="shared" si="29"/>
        <v>7.9499999999999993</v>
      </c>
      <c r="BA29" s="325">
        <v>5.31</v>
      </c>
      <c r="BI29" s="319" t="s">
        <v>316</v>
      </c>
      <c r="BJ29" s="498">
        <f>BJ6</f>
        <v>1</v>
      </c>
      <c r="BO29" s="330" t="s">
        <v>308</v>
      </c>
      <c r="BP29" s="325">
        <v>8.07</v>
      </c>
      <c r="BQ29" s="326">
        <f t="shared" si="30"/>
        <v>11.170000000000002</v>
      </c>
      <c r="BR29" s="325">
        <v>7.45</v>
      </c>
      <c r="BS29" s="326">
        <f t="shared" si="31"/>
        <v>10.390000000000002</v>
      </c>
      <c r="BT29" s="325">
        <v>6.96</v>
      </c>
      <c r="BU29" s="326">
        <f t="shared" si="32"/>
        <v>6.84</v>
      </c>
      <c r="BV29" s="325">
        <v>6.56</v>
      </c>
      <c r="BW29" s="326">
        <f t="shared" si="33"/>
        <v>9.3599999999999977</v>
      </c>
      <c r="BX29" s="325">
        <v>6.21</v>
      </c>
      <c r="BY29" s="326">
        <f t="shared" si="34"/>
        <v>8.82</v>
      </c>
      <c r="BZ29" s="325">
        <v>5.92</v>
      </c>
      <c r="CA29" s="326">
        <f t="shared" si="35"/>
        <v>8.519999999999996</v>
      </c>
      <c r="CB29" s="325">
        <v>5.66</v>
      </c>
    </row>
    <row r="30" spans="1:80" ht="20.149999999999999" customHeight="1" thickBot="1" x14ac:dyDescent="0.3">
      <c r="B30" s="354" t="s">
        <v>402</v>
      </c>
      <c r="C30" s="597" t="s">
        <v>0</v>
      </c>
      <c r="D30" s="679">
        <f>(1000/VLOOKUP('Bemessungstabelle isoliert'!$D$27,Daten!$A$22:$B$25,2))*$D$25^4/$H$53^3</f>
        <v>107.45499009437634</v>
      </c>
      <c r="E30" s="357"/>
      <c r="M30" s="331" t="s">
        <v>309</v>
      </c>
      <c r="N30" s="325">
        <v>7.13</v>
      </c>
      <c r="O30" s="326">
        <f t="shared" si="18"/>
        <v>8.6799999999999979</v>
      </c>
      <c r="P30" s="325">
        <v>6.82</v>
      </c>
      <c r="Q30" s="326">
        <f t="shared" si="19"/>
        <v>8.3800000000000043</v>
      </c>
      <c r="R30" s="325">
        <v>6.56</v>
      </c>
      <c r="S30" s="326">
        <f t="shared" si="20"/>
        <v>6.4939999999999998</v>
      </c>
      <c r="T30" s="325">
        <v>6.34</v>
      </c>
      <c r="U30" s="326">
        <f t="shared" si="21"/>
        <v>7.9400000000000013</v>
      </c>
      <c r="V30" s="325">
        <v>6.14</v>
      </c>
      <c r="W30" s="326">
        <f t="shared" si="22"/>
        <v>7.67</v>
      </c>
      <c r="X30" s="325">
        <v>5.97</v>
      </c>
      <c r="Y30" s="326">
        <f t="shared" si="23"/>
        <v>7.57</v>
      </c>
      <c r="Z30" s="325">
        <v>5.81</v>
      </c>
      <c r="AH30" s="8"/>
      <c r="AN30" s="331" t="s">
        <v>309</v>
      </c>
      <c r="AO30" s="325">
        <v>10.89</v>
      </c>
      <c r="AP30" s="326">
        <f t="shared" si="24"/>
        <v>14.390000000000008</v>
      </c>
      <c r="AQ30" s="325">
        <v>10.19</v>
      </c>
      <c r="AR30" s="326">
        <f t="shared" si="25"/>
        <v>13.67</v>
      </c>
      <c r="AS30" s="325">
        <v>9.61</v>
      </c>
      <c r="AT30" s="326">
        <f t="shared" si="26"/>
        <v>9.4629999999999992</v>
      </c>
      <c r="AU30" s="325">
        <v>9.1199999999999992</v>
      </c>
      <c r="AV30" s="326">
        <f t="shared" si="27"/>
        <v>12.48</v>
      </c>
      <c r="AW30" s="325">
        <v>8.6999999999999993</v>
      </c>
      <c r="AX30" s="326">
        <f t="shared" si="28"/>
        <v>12.029999999999994</v>
      </c>
      <c r="AY30" s="325">
        <v>8.33</v>
      </c>
      <c r="AZ30" s="326">
        <f t="shared" si="29"/>
        <v>11.629999999999997</v>
      </c>
      <c r="BA30" s="325">
        <v>8</v>
      </c>
      <c r="BI30" s="8"/>
      <c r="BO30" s="331" t="s">
        <v>309</v>
      </c>
      <c r="BP30" s="325">
        <v>11.78</v>
      </c>
      <c r="BQ30" s="326">
        <f t="shared" si="30"/>
        <v>15.679999999999996</v>
      </c>
      <c r="BR30" s="325">
        <v>11</v>
      </c>
      <c r="BS30" s="326">
        <f t="shared" si="31"/>
        <v>14.840000000000003</v>
      </c>
      <c r="BT30" s="325">
        <v>10.36</v>
      </c>
      <c r="BU30" s="326">
        <f t="shared" si="32"/>
        <v>10.198</v>
      </c>
      <c r="BV30" s="325">
        <v>9.82</v>
      </c>
      <c r="BW30" s="326">
        <f t="shared" si="33"/>
        <v>13.580000000000007</v>
      </c>
      <c r="BX30" s="325">
        <v>9.35</v>
      </c>
      <c r="BY30" s="326">
        <f t="shared" si="34"/>
        <v>12.950000000000003</v>
      </c>
      <c r="BZ30" s="325">
        <v>8.9499999999999993</v>
      </c>
      <c r="CA30" s="326">
        <f t="shared" si="35"/>
        <v>12.54999999999999</v>
      </c>
      <c r="CB30" s="325">
        <v>8.59</v>
      </c>
    </row>
    <row r="31" spans="1:80" ht="20.149999999999999" customHeight="1" thickBot="1" x14ac:dyDescent="0.3">
      <c r="B31" s="750" t="s">
        <v>450</v>
      </c>
      <c r="C31" s="751" t="s">
        <v>0</v>
      </c>
      <c r="D31" s="752">
        <f>D25*1000/VLOOKUP($D$27,Daten!$A$22:$B$25,2)</f>
        <v>17</v>
      </c>
      <c r="E31" s="367"/>
      <c r="G31" s="334" t="s">
        <v>214</v>
      </c>
      <c r="H31" s="335">
        <f>O35</f>
        <v>4.4020000000000001</v>
      </c>
      <c r="M31" s="331" t="s">
        <v>492</v>
      </c>
      <c r="N31" s="325">
        <v>7.56</v>
      </c>
      <c r="O31" s="326">
        <f>N31-(N31-P31)*($O$24-$N$24)/($P$24-$N$24)</f>
        <v>9.1099999999999977</v>
      </c>
      <c r="P31" s="325">
        <v>7.25</v>
      </c>
      <c r="Q31" s="326">
        <f>P31-(P31-R31)*($Q$24-$P$24)/($R$24-$P$24)</f>
        <v>8.8099999999999987</v>
      </c>
      <c r="R31" s="325">
        <v>6.99</v>
      </c>
      <c r="S31" s="326">
        <f>R31-(R31-T31)*($S$24-$R$24)/($T$24-$R$24)</f>
        <v>6.9180000000000001</v>
      </c>
      <c r="T31" s="325">
        <v>6.75</v>
      </c>
      <c r="U31" s="326">
        <f>T31-(T31-V31)*($U$24-$T$24)/($V$24-$T$24)</f>
        <v>8.3500000000000014</v>
      </c>
      <c r="V31" s="325">
        <v>6.55</v>
      </c>
      <c r="W31" s="326">
        <f>V31-(V31-X31)*($W$24-$V$24)/($X$24-$V$24)</f>
        <v>8.1699999999999982</v>
      </c>
      <c r="X31" s="325">
        <v>6.37</v>
      </c>
      <c r="Y31" s="326">
        <f>X31-(X31-Z31)*($Y$24-$X$24)/($Z$24-$X$24)</f>
        <v>7.9700000000000006</v>
      </c>
      <c r="Z31" s="325">
        <v>6.21</v>
      </c>
      <c r="AH31" s="334" t="s">
        <v>201</v>
      </c>
      <c r="AI31" s="335">
        <f>AP35</f>
        <v>5.774</v>
      </c>
      <c r="AN31" s="331" t="s">
        <v>492</v>
      </c>
      <c r="AO31" s="325">
        <v>11.94</v>
      </c>
      <c r="AP31" s="326">
        <f>AO31-(AO31-AQ31)*($O$24-$N$24)/($P$24-$N$24)</f>
        <v>15.64</v>
      </c>
      <c r="AQ31" s="325">
        <v>11.2</v>
      </c>
      <c r="AR31" s="326">
        <f>AQ31-(AQ31-AS31)*($Q$24-$P$24)/($R$24-$P$24)</f>
        <v>14.919999999999995</v>
      </c>
      <c r="AS31" s="325">
        <v>10.58</v>
      </c>
      <c r="AT31" s="326">
        <f>AS31-(AS31-AU31)*($S$24-$R$24)/($T$24-$R$24)</f>
        <v>10.420999999999999</v>
      </c>
      <c r="AU31" s="325">
        <v>10.050000000000001</v>
      </c>
      <c r="AV31" s="326">
        <f>AU31-(AU31-AW31)*($U$24-$T$24)/($V$24-$T$24)</f>
        <v>13.730000000000009</v>
      </c>
      <c r="AW31" s="325">
        <v>9.59</v>
      </c>
      <c r="AX31" s="326">
        <f>AW31-(AW31-AY31)*($W$24-$V$24)/($X$24-$V$24)</f>
        <v>13.100000000000005</v>
      </c>
      <c r="AY31" s="325">
        <v>9.1999999999999993</v>
      </c>
      <c r="AZ31" s="326">
        <f>AY31-(AY31-BA31)*($Y$24-$X$24)/($Z$24-$X$24)</f>
        <v>12.79999999999999</v>
      </c>
      <c r="BA31" s="325">
        <v>8.84</v>
      </c>
      <c r="BI31" s="334" t="s">
        <v>206</v>
      </c>
      <c r="BJ31" s="335">
        <f>BQ35</f>
        <v>6.1850000000000005</v>
      </c>
      <c r="BO31" s="331" t="s">
        <v>492</v>
      </c>
      <c r="BP31" s="325">
        <v>12.96</v>
      </c>
      <c r="BQ31" s="326">
        <f>BP31-(BP31-BR31)*($O$24-$N$24)/($P$24-$N$24)</f>
        <v>17.160000000000011</v>
      </c>
      <c r="BR31" s="325">
        <v>12.12</v>
      </c>
      <c r="BS31" s="326">
        <f>BR31-(BR31-BT31)*($Q$24-$P$24)/($R$24-$P$24)</f>
        <v>16.319999999999997</v>
      </c>
      <c r="BT31" s="325">
        <v>11.42</v>
      </c>
      <c r="BU31" s="326">
        <f>BT31-(BT31-BV31)*($S$24-$R$24)/($T$24-$R$24)</f>
        <v>11.246</v>
      </c>
      <c r="BV31" s="325">
        <v>10.84</v>
      </c>
      <c r="BW31" s="326">
        <f>BV31-(BV31-BX31)*($U$24-$T$24)/($V$24-$T$24)</f>
        <v>14.919999999999998</v>
      </c>
      <c r="BX31" s="325">
        <v>10.33</v>
      </c>
      <c r="BY31" s="326">
        <f>BX31-(BX31-BZ31)*($W$24-$V$24)/($X$24-$V$24)</f>
        <v>14.2</v>
      </c>
      <c r="BZ31" s="325">
        <v>9.9</v>
      </c>
      <c r="CA31" s="326">
        <f>BZ31-(BZ31-CB31)*($Y$24-$X$24)/($Z$24-$X$24)</f>
        <v>13.800000000000002</v>
      </c>
      <c r="CB31" s="325">
        <v>9.51</v>
      </c>
    </row>
    <row r="32" spans="1:80" ht="20.149999999999999" customHeight="1" x14ac:dyDescent="0.25">
      <c r="A32" s="10"/>
      <c r="B32" s="669" t="s">
        <v>440</v>
      </c>
      <c r="C32" s="601"/>
      <c r="D32" s="601"/>
      <c r="E32" s="361"/>
      <c r="G32" s="334" t="s">
        <v>241</v>
      </c>
      <c r="H32" s="335">
        <f>H31*H25*H26*H27*H28*H29</f>
        <v>4.3227640000000003</v>
      </c>
      <c r="AH32" s="334" t="s">
        <v>313</v>
      </c>
      <c r="AI32" s="335">
        <f>AI31*AI25*AI26*AI27*AI28*AI29</f>
        <v>5.6123279999999998</v>
      </c>
      <c r="BI32" s="334" t="s">
        <v>317</v>
      </c>
      <c r="BJ32" s="335">
        <f>BJ31*BJ25*BJ26*BJ27*BJ28*BJ29</f>
        <v>61850.000000000007</v>
      </c>
    </row>
    <row r="33" spans="1:86" ht="20.149999999999999" customHeight="1" thickBot="1" x14ac:dyDescent="0.3">
      <c r="A33" s="10"/>
      <c r="B33" s="599" t="s">
        <v>402</v>
      </c>
      <c r="C33" s="600" t="s">
        <v>0</v>
      </c>
      <c r="D33" s="680">
        <f>(1000/VLOOKUP('Bemessungstabelle isoliert'!$D$27,Daten!$A$22:$B$25,2))*$D$25^4/($H$53*H49)^3</f>
        <v>44.659328979286144</v>
      </c>
      <c r="E33" s="367"/>
      <c r="BR33" s="12"/>
      <c r="BS33" s="12"/>
      <c r="BT33" s="12"/>
      <c r="BU33" s="12"/>
      <c r="BV33" s="12"/>
    </row>
    <row r="34" spans="1:86" ht="20.149999999999999" customHeight="1" thickBot="1" x14ac:dyDescent="0.3">
      <c r="M34" s="320" t="s">
        <v>28</v>
      </c>
      <c r="N34" s="320" t="s">
        <v>17</v>
      </c>
      <c r="O34" s="332" t="s">
        <v>21</v>
      </c>
      <c r="AN34" s="320" t="s">
        <v>28</v>
      </c>
      <c r="AO34" s="320" t="s">
        <v>17</v>
      </c>
      <c r="AP34" s="332" t="s">
        <v>21</v>
      </c>
      <c r="BO34" s="320" t="s">
        <v>28</v>
      </c>
      <c r="BP34" s="320" t="s">
        <v>17</v>
      </c>
      <c r="BQ34" s="332" t="s">
        <v>21</v>
      </c>
    </row>
    <row r="35" spans="1:86" ht="20.149999999999999" customHeight="1" x14ac:dyDescent="0.25">
      <c r="B35" s="430" t="s">
        <v>69</v>
      </c>
      <c r="C35" s="71"/>
      <c r="D35" s="72"/>
      <c r="E35" s="73"/>
      <c r="M35" s="320">
        <f>IF($D$19="","",MATCH($D$19,M25:M31))</f>
        <v>4</v>
      </c>
      <c r="N35" s="320">
        <f>IF($D$12="","",MATCH($D$12,N24:Z24,0))</f>
        <v>6</v>
      </c>
      <c r="O35" s="333">
        <f>IF(OR($D$19="",$D$12=""),0,INDEX(N25:Z31,M35,N35))</f>
        <v>4.4020000000000001</v>
      </c>
      <c r="AN35" s="320">
        <f>IF($D$19="","",MATCH($D$19,AN25:AN31))</f>
        <v>4</v>
      </c>
      <c r="AO35" s="320">
        <f>IF($D$12="","",MATCH($D$12,AO24:BA24,0))</f>
        <v>6</v>
      </c>
      <c r="AP35" s="333">
        <f>IF(OR($D$19="",$D$12=""),0,INDEX(AO25:BA31,AN35,AO35))</f>
        <v>5.774</v>
      </c>
      <c r="BO35" s="320">
        <f>IF($D$19="","",MATCH($D$19,BO25:BO31))</f>
        <v>4</v>
      </c>
      <c r="BP35" s="320">
        <f>IF($D$12="","",MATCH($D$12,BP24:CB24,0))</f>
        <v>6</v>
      </c>
      <c r="BQ35" s="333">
        <f>IF(OR($D$19="",$D$12=""),0,INDEX(BP25:CB31,BO35,BP35))</f>
        <v>6.1850000000000005</v>
      </c>
    </row>
    <row r="36" spans="1:86" ht="20.149999999999999" customHeight="1" x14ac:dyDescent="0.25">
      <c r="B36" s="406" t="s">
        <v>337</v>
      </c>
      <c r="C36" s="431" t="s">
        <v>0</v>
      </c>
      <c r="D36" s="432">
        <v>0.8</v>
      </c>
      <c r="E36" s="433" t="str">
        <f>IF(OR(D36&lt;0.5,D36&gt;1.1),"Achtung: Tiefe muss zwischen 0,50 m und 1,10 m betragen!","")</f>
        <v/>
      </c>
      <c r="AC36" s="9"/>
    </row>
    <row r="37" spans="1:86" ht="20.149999999999999" customHeight="1" x14ac:dyDescent="0.25">
      <c r="B37" s="434" t="s">
        <v>90</v>
      </c>
      <c r="C37" s="426" t="s">
        <v>0</v>
      </c>
      <c r="D37" s="668" t="s">
        <v>87</v>
      </c>
      <c r="E37" s="74"/>
      <c r="AC37" s="9"/>
    </row>
    <row r="38" spans="1:86" ht="20.149999999999999" customHeight="1" x14ac:dyDescent="0.25">
      <c r="B38" s="435" t="s">
        <v>66</v>
      </c>
      <c r="C38" s="427" t="s">
        <v>0</v>
      </c>
      <c r="D38" s="668" t="s">
        <v>561</v>
      </c>
      <c r="E38" s="436"/>
      <c r="AC38" s="9"/>
    </row>
    <row r="39" spans="1:86" ht="20.149999999999999" customHeight="1" x14ac:dyDescent="0.25">
      <c r="B39" s="437">
        <f>D10</f>
        <v>3.5</v>
      </c>
      <c r="C39" s="428" t="str">
        <f>IF(B39&lt;D39,"&lt;","&gt;")</f>
        <v>&lt;</v>
      </c>
      <c r="D39" s="429">
        <f>MIN(H80,AI80,BJ80)</f>
        <v>6.9230999999999998</v>
      </c>
      <c r="E39" s="436"/>
      <c r="AC39" s="9"/>
    </row>
    <row r="40" spans="1:86" ht="20.149999999999999" customHeight="1" thickBot="1" x14ac:dyDescent="0.3">
      <c r="B40" s="438"/>
      <c r="C40" s="439"/>
      <c r="D40" s="440" t="str">
        <f>IF(B39&gt;D39,"Bedingung nicht erfüllt!","Bedingung erfüllt!")</f>
        <v>Bedingung erfüllt!</v>
      </c>
      <c r="E40" s="441"/>
      <c r="AC40" s="9"/>
    </row>
    <row r="41" spans="1:86" ht="20.149999999999999" customHeight="1" thickBot="1" x14ac:dyDescent="0.3">
      <c r="B41" s="101"/>
      <c r="C41" s="101"/>
      <c r="D41" s="311"/>
      <c r="E41" s="101"/>
      <c r="G41" s="761" t="s">
        <v>318</v>
      </c>
      <c r="H41" s="762"/>
      <c r="I41" s="108"/>
      <c r="J41" s="372" t="s">
        <v>320</v>
      </c>
      <c r="K41" s="372" t="s">
        <v>321</v>
      </c>
      <c r="M41" s="375" t="s">
        <v>29</v>
      </c>
      <c r="N41" s="642">
        <v>1</v>
      </c>
      <c r="O41" s="643">
        <f>IF(AND('Ermittlung Schneelast'!$D$19&gt;1,'Ermittlung Schneelast'!$D$19&lt;1.5),'Ermittlung Schneelast'!$D$19,0)</f>
        <v>0</v>
      </c>
      <c r="P41" s="643">
        <v>1.5</v>
      </c>
      <c r="Q41" s="643">
        <f>IF(AND('Ermittlung Schneelast'!$D$19&gt;1.5,'Ermittlung Schneelast'!$D$19&lt;2),'Ermittlung Schneelast'!$D$19,0)</f>
        <v>0</v>
      </c>
      <c r="R41" s="643">
        <v>2</v>
      </c>
      <c r="S41" s="643">
        <f>IF(AND('Ermittlung Schneelast'!$D$19&gt;2,'Ermittlung Schneelast'!$D$19&lt;2.5),'Ermittlung Schneelast'!$D$19,0)</f>
        <v>0</v>
      </c>
      <c r="T41" s="643">
        <v>2.5</v>
      </c>
      <c r="U41" s="643">
        <f>IF(AND('Ermittlung Schneelast'!$D$19&gt;2.5,'Ermittlung Schneelast'!$D$19&lt;3),'Ermittlung Schneelast'!$D$19,0)</f>
        <v>0</v>
      </c>
      <c r="V41" s="643">
        <v>3</v>
      </c>
      <c r="W41" s="643">
        <f>IF(AND('Ermittlung Schneelast'!$D$19&gt;3,'Ermittlung Schneelast'!$D$19&lt;3.5),'Ermittlung Schneelast'!$D$19,0)</f>
        <v>0</v>
      </c>
      <c r="X41" s="643">
        <v>3.5</v>
      </c>
      <c r="Y41" s="643">
        <f>IF(AND('Ermittlung Schneelast'!$D$19&gt;3.5,'Ermittlung Schneelast'!$D$19&lt;4),'Ermittlung Schneelast'!$D$19,0)</f>
        <v>0</v>
      </c>
      <c r="Z41" s="643">
        <v>4</v>
      </c>
      <c r="AA41" s="643">
        <f>IF(AND('Ermittlung Schneelast'!$D$19&gt;4,'Ermittlung Schneelast'!$D$19&lt;4.5),'Ermittlung Schneelast'!$D$19,0)</f>
        <v>0</v>
      </c>
      <c r="AB41" s="643">
        <v>4.5</v>
      </c>
      <c r="AC41" s="643">
        <f>IF(AND('Ermittlung Schneelast'!$D$19&gt;4.5,'Ermittlung Schneelast'!$D$19&lt;5),'Ermittlung Schneelast'!$D$19,0)</f>
        <v>0</v>
      </c>
      <c r="AD41" s="643">
        <v>5</v>
      </c>
      <c r="AE41" s="643">
        <f>IF(AND('Ermittlung Schneelast'!D$19&gt;5,'Ermittlung Schneelast'!D$19&lt;6),'Ermittlung Schneelast'!D$19,0)</f>
        <v>0</v>
      </c>
      <c r="AF41" s="644">
        <v>6</v>
      </c>
      <c r="AH41" s="761" t="s">
        <v>323</v>
      </c>
      <c r="AI41" s="762"/>
      <c r="AJ41" s="108"/>
      <c r="AK41" s="372" t="s">
        <v>324</v>
      </c>
      <c r="AL41" s="372" t="s">
        <v>325</v>
      </c>
      <c r="AN41" s="375" t="s">
        <v>29</v>
      </c>
      <c r="AO41" s="642">
        <v>1</v>
      </c>
      <c r="AP41" s="643">
        <f>IF(AND('Ermittlung Schneelast'!$D$19&gt;1,'Ermittlung Schneelast'!$D$19&lt;1.5),'Ermittlung Schneelast'!$D$19,0)</f>
        <v>0</v>
      </c>
      <c r="AQ41" s="643">
        <v>1.5</v>
      </c>
      <c r="AR41" s="643">
        <f>IF(AND('Ermittlung Schneelast'!$D$19&gt;1.5,'Ermittlung Schneelast'!$D$19&lt;2),'Ermittlung Schneelast'!$D$19,0)</f>
        <v>0</v>
      </c>
      <c r="AS41" s="376">
        <v>2</v>
      </c>
      <c r="AT41" s="376">
        <f>IF(AND('Ermittlung Schneelast'!$D$19&gt;2,'Ermittlung Schneelast'!$D$19&lt;2.5),'Ermittlung Schneelast'!$D$19,0)</f>
        <v>0</v>
      </c>
      <c r="AU41" s="376">
        <v>2.5</v>
      </c>
      <c r="AV41" s="376">
        <f>IF(AND('Ermittlung Schneelast'!$D$19&gt;2.5,'Ermittlung Schneelast'!$D$19&lt;3),'Ermittlung Schneelast'!$D$19,0)</f>
        <v>0</v>
      </c>
      <c r="AW41" s="376">
        <v>3</v>
      </c>
      <c r="AX41" s="376">
        <f>IF(AND('Ermittlung Schneelast'!$D$19&gt;3,'Ermittlung Schneelast'!$D$19&lt;3.5),'Ermittlung Schneelast'!$D$19,0)</f>
        <v>0</v>
      </c>
      <c r="AY41" s="376">
        <v>3.5</v>
      </c>
      <c r="AZ41" s="376">
        <f>IF(AND('Ermittlung Schneelast'!$D$19&gt;3.5,'Ermittlung Schneelast'!$D$19&lt;4),'Ermittlung Schneelast'!$D$19,0)</f>
        <v>0</v>
      </c>
      <c r="BA41" s="376">
        <v>4</v>
      </c>
      <c r="BB41" s="376">
        <f>IF(AND('Ermittlung Schneelast'!$D$19&gt;4,'Ermittlung Schneelast'!$D$19&lt;4.5),'Ermittlung Schneelast'!$D$19,0)</f>
        <v>0</v>
      </c>
      <c r="BC41" s="376">
        <v>4.5</v>
      </c>
      <c r="BD41" s="376">
        <f>IF(AND('Ermittlung Schneelast'!$D$19&gt;4.5,'Ermittlung Schneelast'!$D$19&lt;5),'Ermittlung Schneelast'!$D$19,0)</f>
        <v>0</v>
      </c>
      <c r="BE41" s="376">
        <v>5</v>
      </c>
      <c r="BF41" s="376">
        <f>IF(AND('Ermittlung Schneelast'!$D$19&gt;5,'Ermittlung Schneelast'!$D$19&lt;6),'Ermittlung Schneelast'!$D$19,0)</f>
        <v>0</v>
      </c>
      <c r="BG41" s="394">
        <v>6</v>
      </c>
      <c r="BI41" s="761" t="s">
        <v>333</v>
      </c>
      <c r="BJ41" s="762"/>
      <c r="BO41" s="375" t="s">
        <v>29</v>
      </c>
      <c r="BP41" s="642">
        <v>1</v>
      </c>
      <c r="BQ41" s="643">
        <f>IF(AND('Ermittlung Schneelast'!$D$19&gt;1,'Ermittlung Schneelast'!$D$19&lt;1.5),'Ermittlung Schneelast'!$D$19,0)</f>
        <v>0</v>
      </c>
      <c r="BR41" s="643">
        <v>1.5</v>
      </c>
      <c r="BS41" s="643">
        <f>IF(AND('Ermittlung Schneelast'!$D$19&gt;1.5,'Ermittlung Schneelast'!$D$19&lt;2),'Ermittlung Schneelast'!$D$19,0)</f>
        <v>0</v>
      </c>
      <c r="BT41" s="376">
        <v>2</v>
      </c>
      <c r="BU41" s="376">
        <f>IF(AND('Ermittlung Schneelast'!$D$19&gt;2,'Ermittlung Schneelast'!$D$19&lt;2.5),'Ermittlung Schneelast'!$D$19,0)</f>
        <v>0</v>
      </c>
      <c r="BV41" s="376">
        <v>2.5</v>
      </c>
      <c r="BW41" s="376">
        <f>IF(AND('Ermittlung Schneelast'!$D$19&gt;2.5,'Ermittlung Schneelast'!$D$19&lt;3),'Ermittlung Schneelast'!$D$19,0)</f>
        <v>0</v>
      </c>
      <c r="BX41" s="376">
        <v>3</v>
      </c>
      <c r="BY41" s="376">
        <f>IF(AND('Ermittlung Schneelast'!$D$19&gt;3,'Ermittlung Schneelast'!$D$19&lt;3.5),'Ermittlung Schneelast'!$D$19,0)</f>
        <v>0</v>
      </c>
      <c r="BZ41" s="376">
        <v>3.5</v>
      </c>
      <c r="CA41" s="376">
        <f>IF(AND('Ermittlung Schneelast'!$D$19&gt;3.5,'Ermittlung Schneelast'!$D$19&lt;4),'Ermittlung Schneelast'!$D$19,0)</f>
        <v>0</v>
      </c>
      <c r="CB41" s="376">
        <v>4</v>
      </c>
      <c r="CC41" s="376">
        <f>IF(AND('Ermittlung Schneelast'!$D$19&gt;4,'Ermittlung Schneelast'!$D$19&lt;4.5),'Ermittlung Schneelast'!$D$19,0)</f>
        <v>0</v>
      </c>
      <c r="CD41" s="376">
        <v>4.5</v>
      </c>
      <c r="CE41" s="376">
        <f>IF(AND('Ermittlung Schneelast'!$D$19&gt;4.5,'Ermittlung Schneelast'!$D$19&lt;5),'Ermittlung Schneelast'!$D$19,0)</f>
        <v>0</v>
      </c>
      <c r="CF41" s="376">
        <v>5</v>
      </c>
      <c r="CG41" s="376">
        <f>IF(AND('Ermittlung Schneelast'!$D$19&gt;5,'Ermittlung Schneelast'!$D$19&lt;6),'Ermittlung Schneelast'!$D$19,0)</f>
        <v>0</v>
      </c>
      <c r="CH41" s="394">
        <v>6</v>
      </c>
    </row>
    <row r="42" spans="1:86" ht="20.149999999999999" customHeight="1" x14ac:dyDescent="0.25">
      <c r="B42" s="476" t="s">
        <v>67</v>
      </c>
      <c r="C42" s="477"/>
      <c r="D42" s="478"/>
      <c r="E42" s="479"/>
      <c r="G42" s="368" t="s">
        <v>207</v>
      </c>
      <c r="H42" s="501">
        <f>H2</f>
        <v>1</v>
      </c>
      <c r="I42" s="109"/>
      <c r="J42" s="373">
        <v>0.52</v>
      </c>
      <c r="K42" s="374">
        <v>1.1000000000000001</v>
      </c>
      <c r="M42" s="640" t="s">
        <v>33</v>
      </c>
      <c r="N42" s="381">
        <f>P42+(R42-T42)</f>
        <v>4.9400000000000004</v>
      </c>
      <c r="O42" s="641">
        <f t="shared" ref="O42:O50" si="36">N42-(N42-P42)*(O$41-N$41)/(P$41-N$41)</f>
        <v>5.5000000000000009</v>
      </c>
      <c r="P42" s="641">
        <f>R42+(R42-T42)</f>
        <v>4.66</v>
      </c>
      <c r="Q42" s="641">
        <f t="shared" ref="Q42:Q50" si="37">P42-(P42-R42)*(Q$41-P$41)/(R$41-P$41)</f>
        <v>5.5000000000000009</v>
      </c>
      <c r="R42" s="641">
        <v>4.38</v>
      </c>
      <c r="S42" s="641">
        <f t="shared" ref="S42:S50" si="38">R42-(R42-T42)*(S$41-R$41)/(T$41-R$41)</f>
        <v>5.5000000000000009</v>
      </c>
      <c r="T42" s="641">
        <v>4.0999999999999996</v>
      </c>
      <c r="U42" s="641">
        <f t="shared" ref="U42:U50" si="39">T42-(T42-V42)*(U$41-T$41)/(V$41-T$41)</f>
        <v>5.1999999999999984</v>
      </c>
      <c r="V42" s="641">
        <v>3.88</v>
      </c>
      <c r="W42" s="641">
        <f t="shared" ref="W42:W50" si="40">V42-(V42-X42)*(W$41-V$41)/(X$41-V$41)</f>
        <v>4.9599999999999982</v>
      </c>
      <c r="X42" s="641">
        <v>3.7</v>
      </c>
      <c r="Y42" s="641">
        <f t="shared" ref="Y42:Y50" si="41">X42-(X42-Z42)*(Y$41-X$41)/(Z$41-X$41)</f>
        <v>4.7500000000000027</v>
      </c>
      <c r="Z42" s="641">
        <v>3.55</v>
      </c>
      <c r="AA42" s="641">
        <f t="shared" ref="AA42:AA50" si="42">Z42-(Z42-AB42)*(AA$41-Z$41)/(AB$41-Z$41)</f>
        <v>4.589999999999999</v>
      </c>
      <c r="AB42" s="641">
        <v>3.42</v>
      </c>
      <c r="AC42" s="641">
        <f t="shared" ref="AC42:AC50" si="43">AB42-(AB42-AD42)*(AC$41-AB$41)/(AD$41-AB$41)</f>
        <v>4.4099999999999984</v>
      </c>
      <c r="AD42" s="641">
        <v>3.31</v>
      </c>
      <c r="AE42" s="641">
        <f t="shared" ref="AE42:AE50" si="44">AD42-(AD42-AF42)*(AE$41-AD$41)/(AF$41-AD$41)</f>
        <v>4.26</v>
      </c>
      <c r="AF42" s="645">
        <v>3.12</v>
      </c>
      <c r="AH42" s="368" t="s">
        <v>221</v>
      </c>
      <c r="AI42" s="501">
        <f>AI2</f>
        <v>1</v>
      </c>
      <c r="AJ42" s="109"/>
      <c r="AK42" s="373">
        <v>0.52</v>
      </c>
      <c r="AL42" s="374">
        <v>1.18</v>
      </c>
      <c r="AN42" s="377" t="s">
        <v>33</v>
      </c>
      <c r="AO42" s="381">
        <f>AQ42+(AS42-AU42)</f>
        <v>6.5</v>
      </c>
      <c r="AP42" s="641">
        <f t="shared" ref="AP42:AP51" si="45">AO42-(AO42-AQ42)*(AP$41-AO$41)/(AQ$41-AO$41)</f>
        <v>7.5</v>
      </c>
      <c r="AQ42" s="641">
        <f>AS42+(AS42-AU42)</f>
        <v>6</v>
      </c>
      <c r="AR42" s="641">
        <f t="shared" ref="AR42:AR51" si="46">AQ42-(AQ42-AS42)*(AR$41-AQ$41)/(AS$41-AQ$41)</f>
        <v>7.5</v>
      </c>
      <c r="AS42" s="378">
        <v>5.5</v>
      </c>
      <c r="AT42" s="378">
        <f t="shared" ref="AT42:AT51" si="47">AS42-(AS42-AU42)*(AT$41-AS$41)/(AU$41-AS$41)</f>
        <v>7.5</v>
      </c>
      <c r="AU42" s="395">
        <v>5</v>
      </c>
      <c r="AV42" s="378">
        <f t="shared" ref="AV42:AV51" si="48">AU42-(AU42-AW42)*(AV$41-AU$41)/(AW$41-AU$41)</f>
        <v>7.1</v>
      </c>
      <c r="AW42" s="395">
        <v>4.58</v>
      </c>
      <c r="AX42" s="378">
        <f t="shared" ref="AX42:AX51" si="49">AW42-(AW42-AY42)*(AX$41-AW$41)/(AY$41-AW$41)</f>
        <v>6.4400000000000031</v>
      </c>
      <c r="AY42" s="395">
        <v>4.2699999999999996</v>
      </c>
      <c r="AZ42" s="378">
        <f t="shared" ref="AZ42:AZ51" si="50">AY42-(AY42-BA42)*(AZ$41-AY$41)/(BA$41-AY$41)</f>
        <v>6.0899999999999981</v>
      </c>
      <c r="BA42" s="395">
        <v>4.01</v>
      </c>
      <c r="BB42" s="378">
        <f t="shared" ref="BB42:BB51" si="51">BA42-(BA42-BC42)*(BB$41-BA$41)/(BC$41-BA$41)</f>
        <v>5.7699999999999978</v>
      </c>
      <c r="BC42" s="395">
        <v>3.79</v>
      </c>
      <c r="BD42" s="378">
        <f t="shared" ref="BD42:BD51" si="52">BC42-(BC42-BE42)*(BD$41-BC$41)/(BE$41-BC$41)</f>
        <v>5.4100000000000019</v>
      </c>
      <c r="BE42" s="395">
        <v>3.61</v>
      </c>
      <c r="BF42" s="378">
        <f t="shared" ref="BF42:BF51" si="53">BE42-(BE42-BG42)*(BF$41-BE$41)/(BG$41-BE$41)</f>
        <v>5.1099999999999994</v>
      </c>
      <c r="BG42" s="646">
        <v>3.31</v>
      </c>
      <c r="BI42" s="368" t="s">
        <v>229</v>
      </c>
      <c r="BJ42" s="501">
        <f>BJ2</f>
        <v>1</v>
      </c>
      <c r="BO42" s="377" t="s">
        <v>33</v>
      </c>
      <c r="BP42" s="381">
        <f>BR42+(BT42-BV42)</f>
        <v>7.36</v>
      </c>
      <c r="BQ42" s="641">
        <f t="shared" ref="BQ42:BQ51" si="54">BP42-(BP42-BR42)*(BQ$41-BP$41)/(BR$41-BP$41)</f>
        <v>8.6000000000000014</v>
      </c>
      <c r="BR42" s="641">
        <f>BT42+(BT42-BV42)</f>
        <v>6.74</v>
      </c>
      <c r="BS42" s="641">
        <f t="shared" ref="BS42:BS51" si="55">BR42-(BR42-BT42)*(BS$41-BR$41)/(BT$41-BR$41)</f>
        <v>8.6000000000000014</v>
      </c>
      <c r="BT42" s="378">
        <v>6.12</v>
      </c>
      <c r="BU42" s="378">
        <f t="shared" ref="BU42:BU51" si="56">BT42-(BT42-BV42)*(BU$41-BT$41)/(BV$41-BT$41)</f>
        <v>8.6000000000000014</v>
      </c>
      <c r="BV42" s="395">
        <v>5.5</v>
      </c>
      <c r="BW42" s="378">
        <f t="shared" ref="BW42:BW51" si="57">BV42-(BV42-BX42)*(BW$41-BV$41)/(BX$41-BV$41)</f>
        <v>7.8499999999999988</v>
      </c>
      <c r="BX42" s="395">
        <v>5.03</v>
      </c>
      <c r="BY42" s="378">
        <f t="shared" ref="BY42:BY51" si="58">BX42-(BX42-BZ42)*(BY$41-BX$41)/(BZ$41-BX$41)</f>
        <v>7.1900000000000022</v>
      </c>
      <c r="BZ42" s="395">
        <v>4.67</v>
      </c>
      <c r="CA42" s="378">
        <f t="shared" ref="CA42:CA51" si="59">BZ42-(BZ42-CB42)*(CA$41-BZ$41)/(CB$41-BZ$41)</f>
        <v>6.7699999999999987</v>
      </c>
      <c r="CB42" s="395">
        <v>4.37</v>
      </c>
      <c r="CC42" s="378">
        <f t="shared" ref="CC42:CC51" si="60">CB42-(CB42-CD42)*(CC$41-CB$41)/(CD$41-CB$41)</f>
        <v>6.2900000000000018</v>
      </c>
      <c r="CD42" s="395">
        <v>4.13</v>
      </c>
      <c r="CE42" s="378">
        <f t="shared" ref="CE42:CE51" si="61">CD42-(CD42-CF42)*(CE$41-CD$41)/(CF$41-CD$41)</f>
        <v>6.02</v>
      </c>
      <c r="CF42" s="395">
        <v>3.92</v>
      </c>
      <c r="CG42" s="378">
        <f t="shared" ref="CG42:CG51" si="62">CF42-(CF42-CH42)*(CG$41-CF$41)/(CH$41-CF$41)</f>
        <v>5.6199999999999992</v>
      </c>
      <c r="CH42" s="388">
        <v>3.58</v>
      </c>
    </row>
    <row r="43" spans="1:86" ht="20.149999999999999" customHeight="1" x14ac:dyDescent="0.25">
      <c r="B43" s="480" t="s">
        <v>371</v>
      </c>
      <c r="C43" s="442"/>
      <c r="D43" s="265">
        <v>3.1</v>
      </c>
      <c r="E43" s="475"/>
      <c r="G43" s="369" t="s">
        <v>319</v>
      </c>
      <c r="H43" s="502">
        <f>VLOOKUP($D$6,J42:K54,2)</f>
        <v>0.98199999999999998</v>
      </c>
      <c r="I43" s="109"/>
      <c r="J43" s="373" t="str">
        <f>IF(AND($D$6&gt;J42,$D$6&lt;J44),$D$6,"nicht interpolieren")</f>
        <v>nicht interpolieren</v>
      </c>
      <c r="K43" s="374" t="e">
        <f>K42-(K42-K44)*(J43-J42)/(J44-J42)</f>
        <v>#VALUE!</v>
      </c>
      <c r="M43" s="637" t="s">
        <v>30</v>
      </c>
      <c r="N43" s="380">
        <f t="shared" ref="N43:N49" si="63">P43+(R43-T43)</f>
        <v>5.43</v>
      </c>
      <c r="O43" s="388">
        <f t="shared" si="36"/>
        <v>6.0299999999999994</v>
      </c>
      <c r="P43" s="388">
        <f t="shared" ref="P43:P50" si="64">R43+(R43-T43)</f>
        <v>5.13</v>
      </c>
      <c r="Q43" s="388">
        <f t="shared" si="37"/>
        <v>6.0299999999999994</v>
      </c>
      <c r="R43" s="388">
        <v>4.83</v>
      </c>
      <c r="S43" s="388">
        <f t="shared" si="38"/>
        <v>6.0299999999999994</v>
      </c>
      <c r="T43" s="388">
        <v>4.53</v>
      </c>
      <c r="U43" s="388">
        <f t="shared" si="39"/>
        <v>5.7300000000000013</v>
      </c>
      <c r="V43" s="388">
        <v>4.29</v>
      </c>
      <c r="W43" s="388">
        <f t="shared" si="40"/>
        <v>5.4300000000000024</v>
      </c>
      <c r="X43" s="388">
        <v>4.0999999999999996</v>
      </c>
      <c r="Y43" s="388">
        <f t="shared" si="41"/>
        <v>5.2899999999999956</v>
      </c>
      <c r="Z43" s="388">
        <v>3.93</v>
      </c>
      <c r="AA43" s="388">
        <f t="shared" si="42"/>
        <v>5.0500000000000007</v>
      </c>
      <c r="AB43" s="388">
        <v>3.79</v>
      </c>
      <c r="AC43" s="388">
        <f t="shared" si="43"/>
        <v>4.870000000000001</v>
      </c>
      <c r="AD43" s="388">
        <v>3.67</v>
      </c>
      <c r="AE43" s="388">
        <f t="shared" si="44"/>
        <v>4.6699999999999982</v>
      </c>
      <c r="AF43" s="646">
        <v>3.47</v>
      </c>
      <c r="AH43" s="369" t="s">
        <v>326</v>
      </c>
      <c r="AI43" s="502">
        <f>VLOOKUP($D$6,AK42:AL54,2)</f>
        <v>0.97399999999999998</v>
      </c>
      <c r="AJ43" s="109"/>
      <c r="AK43" s="373" t="str">
        <f>IF(AND($D$6&gt;AK42,$D$6&lt;AK44),$D$6,"nicht interpolieren")</f>
        <v>nicht interpolieren</v>
      </c>
      <c r="AL43" s="374" t="e">
        <f>AL42-(AL42-AL44)*(AK43-AK42)/(AK44-AK42)</f>
        <v>#VALUE!</v>
      </c>
      <c r="AN43" s="384" t="s">
        <v>30</v>
      </c>
      <c r="AO43" s="380">
        <f t="shared" ref="AO43:AO51" si="65">AQ43+(AS43-AU43)</f>
        <v>7.1399999999999988</v>
      </c>
      <c r="AP43" s="388">
        <f t="shared" si="45"/>
        <v>8.259999999999998</v>
      </c>
      <c r="AQ43" s="388">
        <f t="shared" ref="AQ43:AQ50" si="66">AS43+(AS43-AU43)</f>
        <v>6.5799999999999992</v>
      </c>
      <c r="AR43" s="388">
        <f t="shared" si="46"/>
        <v>8.259999999999998</v>
      </c>
      <c r="AS43" s="380">
        <v>6.02</v>
      </c>
      <c r="AT43" s="381">
        <f t="shared" si="47"/>
        <v>8.259999999999998</v>
      </c>
      <c r="AU43" s="388">
        <v>5.46</v>
      </c>
      <c r="AV43" s="381">
        <f t="shared" si="48"/>
        <v>7.6099999999999985</v>
      </c>
      <c r="AW43" s="388">
        <v>5.03</v>
      </c>
      <c r="AX43" s="381">
        <f t="shared" si="49"/>
        <v>7.0100000000000007</v>
      </c>
      <c r="AY43" s="388">
        <v>4.7</v>
      </c>
      <c r="AZ43" s="381">
        <f t="shared" si="50"/>
        <v>6.6600000000000019</v>
      </c>
      <c r="BA43" s="388">
        <v>4.42</v>
      </c>
      <c r="BB43" s="381">
        <f t="shared" si="51"/>
        <v>6.3400000000000016</v>
      </c>
      <c r="BC43" s="388">
        <v>4.18</v>
      </c>
      <c r="BD43" s="381">
        <f t="shared" si="52"/>
        <v>5.9799999999999969</v>
      </c>
      <c r="BE43" s="388">
        <v>3.98</v>
      </c>
      <c r="BF43" s="381">
        <f t="shared" si="53"/>
        <v>5.6300000000000008</v>
      </c>
      <c r="BG43" s="646">
        <v>3.65</v>
      </c>
      <c r="BI43" s="369" t="s">
        <v>334</v>
      </c>
      <c r="BJ43" s="502">
        <f>BJ3</f>
        <v>10000</v>
      </c>
      <c r="BO43" s="384" t="s">
        <v>30</v>
      </c>
      <c r="BP43" s="380">
        <f t="shared" ref="BP43:BP51" si="67">BR43+(BT43-BV43)</f>
        <v>8.0399999999999991</v>
      </c>
      <c r="BQ43" s="388">
        <f t="shared" si="54"/>
        <v>9.3799999999999972</v>
      </c>
      <c r="BR43" s="388">
        <f t="shared" ref="BR43:BR50" si="68">BT43+(BT43-BV43)</f>
        <v>7.37</v>
      </c>
      <c r="BS43" s="388">
        <f t="shared" si="55"/>
        <v>9.379999999999999</v>
      </c>
      <c r="BT43" s="380">
        <v>6.7</v>
      </c>
      <c r="BU43" s="381">
        <f t="shared" si="56"/>
        <v>9.379999999999999</v>
      </c>
      <c r="BV43" s="388">
        <v>6.03</v>
      </c>
      <c r="BW43" s="381">
        <f t="shared" si="57"/>
        <v>8.5300000000000011</v>
      </c>
      <c r="BX43" s="388">
        <v>5.53</v>
      </c>
      <c r="BY43" s="381">
        <f t="shared" si="58"/>
        <v>7.8700000000000037</v>
      </c>
      <c r="BZ43" s="388">
        <v>5.14</v>
      </c>
      <c r="CA43" s="381">
        <f t="shared" si="59"/>
        <v>7.3799999999999955</v>
      </c>
      <c r="CB43" s="388">
        <v>4.82</v>
      </c>
      <c r="CC43" s="381">
        <f t="shared" si="60"/>
        <v>6.980000000000004</v>
      </c>
      <c r="CD43" s="388">
        <v>4.55</v>
      </c>
      <c r="CE43" s="381">
        <f t="shared" si="61"/>
        <v>6.5299999999999976</v>
      </c>
      <c r="CF43" s="388">
        <v>4.33</v>
      </c>
      <c r="CG43" s="381">
        <f t="shared" si="62"/>
        <v>6.1800000000000006</v>
      </c>
      <c r="CH43" s="388">
        <v>3.96</v>
      </c>
    </row>
    <row r="44" spans="1:86" ht="20.149999999999999" customHeight="1" x14ac:dyDescent="0.25">
      <c r="B44" s="480" t="s">
        <v>372</v>
      </c>
      <c r="C44" s="442"/>
      <c r="D44" s="265">
        <v>3.1</v>
      </c>
      <c r="E44" s="533" t="str">
        <f>IF(D44&lt;D43,"Achtung: l &gt;= la sein","")</f>
        <v/>
      </c>
      <c r="G44" s="369" t="s">
        <v>209</v>
      </c>
      <c r="H44" s="502">
        <f>VLOOKUP($D$8,Daten!$A$50:$E$58,5)</f>
        <v>1</v>
      </c>
      <c r="I44" s="109"/>
      <c r="J44" s="373">
        <v>0.75</v>
      </c>
      <c r="K44" s="374">
        <v>1.05</v>
      </c>
      <c r="M44" s="637" t="s">
        <v>397</v>
      </c>
      <c r="N44" s="380">
        <f t="shared" si="63"/>
        <v>6.2</v>
      </c>
      <c r="O44" s="388">
        <f t="shared" si="36"/>
        <v>6.86</v>
      </c>
      <c r="P44" s="388">
        <f t="shared" si="64"/>
        <v>5.87</v>
      </c>
      <c r="Q44" s="388">
        <f t="shared" si="37"/>
        <v>6.86</v>
      </c>
      <c r="R44" s="388">
        <v>5.54</v>
      </c>
      <c r="S44" s="388">
        <f t="shared" si="38"/>
        <v>6.86</v>
      </c>
      <c r="T44" s="388">
        <v>5.21</v>
      </c>
      <c r="U44" s="388">
        <f t="shared" si="39"/>
        <v>6.5599999999999978</v>
      </c>
      <c r="V44" s="388">
        <v>4.9400000000000004</v>
      </c>
      <c r="W44" s="388">
        <f t="shared" si="40"/>
        <v>6.2600000000000042</v>
      </c>
      <c r="X44" s="388">
        <v>4.72</v>
      </c>
      <c r="Y44" s="388">
        <f t="shared" si="41"/>
        <v>5.9799999999999978</v>
      </c>
      <c r="Z44" s="388">
        <v>4.54</v>
      </c>
      <c r="AA44" s="388">
        <f t="shared" si="42"/>
        <v>5.8200000000000012</v>
      </c>
      <c r="AB44" s="388">
        <v>4.38</v>
      </c>
      <c r="AC44" s="388">
        <f t="shared" si="43"/>
        <v>5.639999999999997</v>
      </c>
      <c r="AD44" s="388">
        <v>4.24</v>
      </c>
      <c r="AE44" s="388">
        <f t="shared" si="44"/>
        <v>5.3400000000000034</v>
      </c>
      <c r="AF44" s="646">
        <v>4.0199999999999996</v>
      </c>
      <c r="AH44" s="369" t="s">
        <v>223</v>
      </c>
      <c r="AI44" s="502">
        <f>VLOOKUP($D$8,Daten!$A$50:$F$58,6)</f>
        <v>1</v>
      </c>
      <c r="AJ44" s="109"/>
      <c r="AK44" s="373">
        <v>0.75</v>
      </c>
      <c r="AL44" s="374">
        <v>1.08</v>
      </c>
      <c r="AN44" s="384" t="s">
        <v>397</v>
      </c>
      <c r="AO44" s="380">
        <f t="shared" si="65"/>
        <v>8.2100000000000009</v>
      </c>
      <c r="AP44" s="388">
        <f t="shared" si="45"/>
        <v>9.4500000000000028</v>
      </c>
      <c r="AQ44" s="388">
        <f t="shared" si="66"/>
        <v>7.59</v>
      </c>
      <c r="AR44" s="388">
        <f t="shared" si="46"/>
        <v>9.4499999999999993</v>
      </c>
      <c r="AS44" s="380">
        <v>6.97</v>
      </c>
      <c r="AT44" s="381">
        <f t="shared" si="47"/>
        <v>9.4499999999999993</v>
      </c>
      <c r="AU44" s="388">
        <v>6.35</v>
      </c>
      <c r="AV44" s="381">
        <f t="shared" si="48"/>
        <v>8.7499999999999964</v>
      </c>
      <c r="AW44" s="388">
        <v>5.87</v>
      </c>
      <c r="AX44" s="381">
        <f t="shared" si="49"/>
        <v>8.1499999999999986</v>
      </c>
      <c r="AY44" s="388">
        <v>5.49</v>
      </c>
      <c r="AZ44" s="381">
        <f t="shared" si="50"/>
        <v>7.7300000000000022</v>
      </c>
      <c r="BA44" s="388">
        <v>5.17</v>
      </c>
      <c r="BB44" s="381">
        <f t="shared" si="51"/>
        <v>7.3299999999999965</v>
      </c>
      <c r="BC44" s="388">
        <v>4.9000000000000004</v>
      </c>
      <c r="BD44" s="381">
        <f t="shared" si="52"/>
        <v>6.9700000000000042</v>
      </c>
      <c r="BE44" s="388">
        <v>4.67</v>
      </c>
      <c r="BF44" s="381">
        <f t="shared" si="53"/>
        <v>6.5699999999999994</v>
      </c>
      <c r="BG44" s="646">
        <v>4.29</v>
      </c>
      <c r="BI44" s="369" t="s">
        <v>230</v>
      </c>
      <c r="BJ44" s="502">
        <f>BJ4</f>
        <v>1</v>
      </c>
      <c r="BO44" s="384" t="s">
        <v>397</v>
      </c>
      <c r="BP44" s="380">
        <f t="shared" si="67"/>
        <v>9.2800000000000011</v>
      </c>
      <c r="BQ44" s="388">
        <f t="shared" si="54"/>
        <v>10.780000000000001</v>
      </c>
      <c r="BR44" s="388">
        <f t="shared" si="68"/>
        <v>8.5300000000000011</v>
      </c>
      <c r="BS44" s="388">
        <f t="shared" si="55"/>
        <v>10.780000000000005</v>
      </c>
      <c r="BT44" s="380">
        <v>7.78</v>
      </c>
      <c r="BU44" s="381">
        <f t="shared" si="56"/>
        <v>10.780000000000001</v>
      </c>
      <c r="BV44" s="388">
        <v>7.03</v>
      </c>
      <c r="BW44" s="381">
        <f t="shared" si="57"/>
        <v>9.8300000000000018</v>
      </c>
      <c r="BX44" s="388">
        <v>6.47</v>
      </c>
      <c r="BY44" s="381">
        <f t="shared" si="58"/>
        <v>9.1700000000000017</v>
      </c>
      <c r="BZ44" s="388">
        <v>6.02</v>
      </c>
      <c r="CA44" s="381">
        <f t="shared" si="59"/>
        <v>8.6099999999999941</v>
      </c>
      <c r="CB44" s="388">
        <v>5.65</v>
      </c>
      <c r="CC44" s="381">
        <f t="shared" si="60"/>
        <v>8.1300000000000043</v>
      </c>
      <c r="CD44" s="388">
        <v>5.34</v>
      </c>
      <c r="CE44" s="381">
        <f t="shared" si="61"/>
        <v>7.6799999999999979</v>
      </c>
      <c r="CF44" s="388">
        <v>5.08</v>
      </c>
      <c r="CG44" s="381">
        <f t="shared" si="62"/>
        <v>7.18</v>
      </c>
      <c r="CH44" s="388">
        <v>4.66</v>
      </c>
    </row>
    <row r="45" spans="1:86" ht="20.149999999999999" customHeight="1" x14ac:dyDescent="0.25">
      <c r="B45" s="481" t="s">
        <v>66</v>
      </c>
      <c r="C45" s="482" t="s">
        <v>0</v>
      </c>
      <c r="D45" s="668" t="s">
        <v>561</v>
      </c>
      <c r="E45" s="475"/>
      <c r="G45" s="369" t="s">
        <v>210</v>
      </c>
      <c r="H45" s="502">
        <f>VLOOKUP($D$9,J57:K62,2)</f>
        <v>1</v>
      </c>
      <c r="I45" s="109"/>
      <c r="J45" s="373" t="str">
        <f>IF(AND($D$6&gt;J44,$D$6&lt;J46),$D$6,"nicht interpolieren")</f>
        <v>nicht interpolieren</v>
      </c>
      <c r="K45" s="374" t="e">
        <f>K44-(K44-K46)*(J45-J44)/(J46-J44)</f>
        <v>#VALUE!</v>
      </c>
      <c r="M45" s="387" t="s">
        <v>34</v>
      </c>
      <c r="N45" s="380">
        <f t="shared" si="63"/>
        <v>4.5600000000000005</v>
      </c>
      <c r="O45" s="388">
        <f t="shared" si="36"/>
        <v>5.08</v>
      </c>
      <c r="P45" s="388">
        <f t="shared" si="64"/>
        <v>4.3000000000000007</v>
      </c>
      <c r="Q45" s="388">
        <f t="shared" si="37"/>
        <v>5.0800000000000027</v>
      </c>
      <c r="R45" s="388">
        <v>4.04</v>
      </c>
      <c r="S45" s="388">
        <f t="shared" si="38"/>
        <v>5.080000000000001</v>
      </c>
      <c r="T45" s="388">
        <v>3.78</v>
      </c>
      <c r="U45" s="388">
        <f t="shared" si="39"/>
        <v>4.7799999999999985</v>
      </c>
      <c r="V45" s="388">
        <v>3.58</v>
      </c>
      <c r="W45" s="388">
        <f t="shared" si="40"/>
        <v>4.5999999999999996</v>
      </c>
      <c r="X45" s="388">
        <v>3.41</v>
      </c>
      <c r="Y45" s="388">
        <f t="shared" si="41"/>
        <v>4.3900000000000006</v>
      </c>
      <c r="Z45" s="388">
        <v>3.27</v>
      </c>
      <c r="AA45" s="388">
        <f t="shared" si="42"/>
        <v>4.2300000000000004</v>
      </c>
      <c r="AB45" s="388">
        <v>3.15</v>
      </c>
      <c r="AC45" s="388">
        <f t="shared" si="43"/>
        <v>4.0500000000000007</v>
      </c>
      <c r="AD45" s="388">
        <v>3.05</v>
      </c>
      <c r="AE45" s="388">
        <f t="shared" si="44"/>
        <v>3.8999999999999995</v>
      </c>
      <c r="AF45" s="646">
        <v>2.88</v>
      </c>
      <c r="AH45" s="369" t="s">
        <v>224</v>
      </c>
      <c r="AI45" s="502">
        <f>VLOOKUP($D$9,AH57:AI62,2)</f>
        <v>1</v>
      </c>
      <c r="AJ45" s="109"/>
      <c r="AK45" s="373" t="str">
        <f>IF(AND($D$6&gt;AK44,$D$6&lt;AK46),$D$6,"nicht interpolieren")</f>
        <v>nicht interpolieren</v>
      </c>
      <c r="AL45" s="374" t="e">
        <f>AL44-(AL44-AL46)*(AK45-AK44)/(AK46-AK44)</f>
        <v>#VALUE!</v>
      </c>
      <c r="AN45" s="382" t="s">
        <v>34</v>
      </c>
      <c r="AO45" s="380">
        <f t="shared" si="65"/>
        <v>5.6800000000000006</v>
      </c>
      <c r="AP45" s="388">
        <f t="shared" si="45"/>
        <v>6.580000000000001</v>
      </c>
      <c r="AQ45" s="388">
        <f t="shared" si="66"/>
        <v>5.23</v>
      </c>
      <c r="AR45" s="388">
        <f t="shared" si="46"/>
        <v>6.580000000000001</v>
      </c>
      <c r="AS45" s="380">
        <v>4.78</v>
      </c>
      <c r="AT45" s="381">
        <f t="shared" si="47"/>
        <v>6.580000000000001</v>
      </c>
      <c r="AU45" s="388">
        <v>4.33</v>
      </c>
      <c r="AV45" s="381">
        <f t="shared" si="48"/>
        <v>6.08</v>
      </c>
      <c r="AW45" s="388">
        <v>3.98</v>
      </c>
      <c r="AX45" s="381">
        <f t="shared" si="49"/>
        <v>5.6</v>
      </c>
      <c r="AY45" s="388">
        <v>3.71</v>
      </c>
      <c r="AZ45" s="381">
        <f t="shared" si="50"/>
        <v>5.32</v>
      </c>
      <c r="BA45" s="388">
        <v>3.48</v>
      </c>
      <c r="BB45" s="381">
        <f t="shared" si="51"/>
        <v>5</v>
      </c>
      <c r="BC45" s="388">
        <v>3.29</v>
      </c>
      <c r="BD45" s="381">
        <f t="shared" si="52"/>
        <v>4.7300000000000013</v>
      </c>
      <c r="BE45" s="388">
        <v>3.13</v>
      </c>
      <c r="BF45" s="381">
        <f t="shared" si="53"/>
        <v>4.4299999999999988</v>
      </c>
      <c r="BG45" s="646">
        <v>2.87</v>
      </c>
      <c r="BI45" s="369" t="s">
        <v>231</v>
      </c>
      <c r="BJ45" s="502">
        <f>BJ5</f>
        <v>1</v>
      </c>
      <c r="BO45" s="382" t="s">
        <v>34</v>
      </c>
      <c r="BP45" s="380">
        <f t="shared" si="67"/>
        <v>6.4200000000000017</v>
      </c>
      <c r="BQ45" s="388">
        <f t="shared" si="54"/>
        <v>7.5200000000000031</v>
      </c>
      <c r="BR45" s="388">
        <f t="shared" si="68"/>
        <v>5.870000000000001</v>
      </c>
      <c r="BS45" s="388">
        <f t="shared" si="55"/>
        <v>7.5200000000000031</v>
      </c>
      <c r="BT45" s="380">
        <v>5.32</v>
      </c>
      <c r="BU45" s="381">
        <f t="shared" si="56"/>
        <v>7.5200000000000031</v>
      </c>
      <c r="BV45" s="388">
        <v>4.7699999999999996</v>
      </c>
      <c r="BW45" s="381">
        <f t="shared" si="57"/>
        <v>6.7699999999999969</v>
      </c>
      <c r="BX45" s="388">
        <v>4.37</v>
      </c>
      <c r="BY45" s="381">
        <f t="shared" si="58"/>
        <v>6.2900000000000018</v>
      </c>
      <c r="BZ45" s="388">
        <v>4.05</v>
      </c>
      <c r="CA45" s="381">
        <f t="shared" si="59"/>
        <v>5.8</v>
      </c>
      <c r="CB45" s="388">
        <v>3.8</v>
      </c>
      <c r="CC45" s="381">
        <f t="shared" si="60"/>
        <v>5.5599999999999978</v>
      </c>
      <c r="CD45" s="388">
        <v>3.58</v>
      </c>
      <c r="CE45" s="381">
        <f t="shared" si="61"/>
        <v>5.2000000000000011</v>
      </c>
      <c r="CF45" s="388">
        <v>3.4</v>
      </c>
      <c r="CG45" s="381">
        <f t="shared" si="62"/>
        <v>4.8499999999999996</v>
      </c>
      <c r="CH45" s="388">
        <v>3.11</v>
      </c>
    </row>
    <row r="46" spans="1:86" ht="20.149999999999999" customHeight="1" x14ac:dyDescent="0.25">
      <c r="B46" s="472">
        <f>D44</f>
        <v>3.1</v>
      </c>
      <c r="C46" s="473" t="str">
        <f>IF(B46&lt;D46,"&lt;","&gt;")</f>
        <v>&lt;</v>
      </c>
      <c r="D46" s="474">
        <f>MIN(H99,AI99,BK97)</f>
        <v>3.8548310209398289</v>
      </c>
      <c r="E46" s="475"/>
      <c r="G46" s="369" t="s">
        <v>211</v>
      </c>
      <c r="H46" s="502">
        <f>IF(AND($D$12&lt;0.8,OR($D$11=$M$2,$D$11=$M$6,$D$11=$M$8,$D$11=$M$10,$D$11=$M$13)),0.99,IF(AND($D$12&gt;=0.8,OR($D$11=$M$3,$D$11=$M$4,$D$11=$M$5,$D$11=$M$7,$D$11=$M$9,$D$11=$M$11,$D$11=$M$12,$D$11=$M$14)),0.97,IF(AND($D$12&lt;0.8,OR($D$11=$M$3,$D$11=$M$4,$D$11=$M$5,$D$11=$M$7,$D$11=$M$9,$D$11=$M$11,$D$11=$M$12,$D$11=$M$14)),0.95,1)))</f>
        <v>0.99</v>
      </c>
      <c r="I46" s="110"/>
      <c r="J46" s="373">
        <v>1</v>
      </c>
      <c r="K46" s="374">
        <v>1</v>
      </c>
      <c r="M46" s="638" t="s">
        <v>32</v>
      </c>
      <c r="N46" s="380">
        <f t="shared" si="63"/>
        <v>5.7400000000000011</v>
      </c>
      <c r="O46" s="388">
        <f t="shared" si="36"/>
        <v>6.3600000000000021</v>
      </c>
      <c r="P46" s="388">
        <f t="shared" si="64"/>
        <v>5.4300000000000006</v>
      </c>
      <c r="Q46" s="388">
        <f t="shared" si="37"/>
        <v>6.3600000000000021</v>
      </c>
      <c r="R46" s="388">
        <v>5.12</v>
      </c>
      <c r="S46" s="388">
        <f t="shared" si="38"/>
        <v>6.3600000000000021</v>
      </c>
      <c r="T46" s="388">
        <v>4.8099999999999996</v>
      </c>
      <c r="U46" s="388">
        <f t="shared" si="39"/>
        <v>6.06</v>
      </c>
      <c r="V46" s="388">
        <v>4.5599999999999996</v>
      </c>
      <c r="W46" s="388">
        <f t="shared" si="40"/>
        <v>5.7599999999999953</v>
      </c>
      <c r="X46" s="388">
        <v>4.3600000000000003</v>
      </c>
      <c r="Y46" s="388">
        <f t="shared" si="41"/>
        <v>5.55</v>
      </c>
      <c r="Z46" s="388">
        <v>4.1900000000000004</v>
      </c>
      <c r="AA46" s="388">
        <f t="shared" si="42"/>
        <v>5.3900000000000032</v>
      </c>
      <c r="AB46" s="388">
        <v>4.04</v>
      </c>
      <c r="AC46" s="388">
        <f t="shared" si="43"/>
        <v>5.120000000000001</v>
      </c>
      <c r="AD46" s="388">
        <v>3.92</v>
      </c>
      <c r="AE46" s="388">
        <f t="shared" si="44"/>
        <v>5.0199999999999987</v>
      </c>
      <c r="AF46" s="646">
        <v>3.7</v>
      </c>
      <c r="AH46" s="369" t="s">
        <v>225</v>
      </c>
      <c r="AI46" s="502">
        <f>IF(AND($D$12&lt;0.8,OR($D$11=$M$2,$D$11=$M$6,$D$11=$M$8,$D$11=$M$10,$D$11=$M$13)),0.98,IF(AND($D$12&gt;=0.8,OR($D$11=$M$3,$D$11=$M$4,$D$11=$M$5,$D$11=$M$7,$D$11=$M$9,$D$11=$M$11,$D$11=$M$12,$D$11=$M$14)),0.96,IF(AND($D$12&lt;0.8,OR($D$11=$M$3,$D$11=$M$4,$D$11=$M$5,$D$11=$M$7,$D$11=$M$9,$D$11=$M$11,$D$11=$M$12,$D$11=$M$14)),0.93,1)))</f>
        <v>0.98</v>
      </c>
      <c r="AJ46" s="110"/>
      <c r="AK46" s="373">
        <v>1</v>
      </c>
      <c r="AL46" s="374">
        <v>1</v>
      </c>
      <c r="AN46" s="379" t="s">
        <v>32</v>
      </c>
      <c r="AO46" s="380">
        <f t="shared" si="65"/>
        <v>7.3899999999999988</v>
      </c>
      <c r="AP46" s="388">
        <f t="shared" si="45"/>
        <v>8.509999999999998</v>
      </c>
      <c r="AQ46" s="388">
        <f t="shared" si="66"/>
        <v>6.8299999999999992</v>
      </c>
      <c r="AR46" s="388">
        <f t="shared" si="46"/>
        <v>8.509999999999998</v>
      </c>
      <c r="AS46" s="380">
        <v>6.27</v>
      </c>
      <c r="AT46" s="381">
        <f t="shared" si="47"/>
        <v>8.509999999999998</v>
      </c>
      <c r="AU46" s="388">
        <v>5.71</v>
      </c>
      <c r="AV46" s="381">
        <f t="shared" si="48"/>
        <v>7.9100000000000019</v>
      </c>
      <c r="AW46" s="388">
        <v>5.27</v>
      </c>
      <c r="AX46" s="381">
        <f t="shared" si="49"/>
        <v>7.3099999999999987</v>
      </c>
      <c r="AY46" s="388">
        <v>4.93</v>
      </c>
      <c r="AZ46" s="381">
        <f t="shared" si="50"/>
        <v>6.96</v>
      </c>
      <c r="BA46" s="388">
        <v>4.6399999999999997</v>
      </c>
      <c r="BB46" s="381">
        <f t="shared" si="51"/>
        <v>6.5599999999999943</v>
      </c>
      <c r="BC46" s="388">
        <v>4.4000000000000004</v>
      </c>
      <c r="BD46" s="381">
        <f t="shared" si="52"/>
        <v>6.29</v>
      </c>
      <c r="BE46" s="388">
        <v>4.1900000000000004</v>
      </c>
      <c r="BF46" s="381">
        <f t="shared" si="53"/>
        <v>5.8900000000000023</v>
      </c>
      <c r="BG46" s="646">
        <v>3.85</v>
      </c>
      <c r="BI46" s="369" t="s">
        <v>232</v>
      </c>
      <c r="BJ46" s="502">
        <f>IF(AND($D$12&lt;0.8,OR($D$11=$M$2,$D$11=$M$6,$D$11=$M$8,$D$11=$M$10,$D$11=$M$13)),0.99,IF(AND($D$12&gt;=0.8,OR($D$11=$M$3,$D$11=$M$4,$D$11=$M$5,$D$11=$M$7,$D$11=$M$9,$D$11=$M$11,$D$11=$M$12,$D$11=$M$14)),0.97,IF(AND($D$12&lt;0.8,OR($D$11=$M$3,$D$11=$M$4,$D$11=$M$5,$D$11=$M$7,$D$11=$M$9,$D$11=$M$11,$D$11=$M$12,$D$11=$M$14)),0.94,1)))</f>
        <v>0.99</v>
      </c>
      <c r="BO46" s="379" t="s">
        <v>32</v>
      </c>
      <c r="BP46" s="380">
        <f t="shared" si="67"/>
        <v>8.36</v>
      </c>
      <c r="BQ46" s="388">
        <f t="shared" si="54"/>
        <v>9.7199999999999989</v>
      </c>
      <c r="BR46" s="388">
        <f t="shared" si="68"/>
        <v>7.68</v>
      </c>
      <c r="BS46" s="388">
        <f t="shared" si="55"/>
        <v>9.7199999999999989</v>
      </c>
      <c r="BT46" s="380">
        <v>7</v>
      </c>
      <c r="BU46" s="381">
        <f t="shared" si="56"/>
        <v>9.7199999999999989</v>
      </c>
      <c r="BV46" s="388">
        <v>6.32</v>
      </c>
      <c r="BW46" s="381">
        <f t="shared" si="57"/>
        <v>8.9200000000000017</v>
      </c>
      <c r="BX46" s="388">
        <v>5.8</v>
      </c>
      <c r="BY46" s="381">
        <f t="shared" si="58"/>
        <v>8.1999999999999957</v>
      </c>
      <c r="BZ46" s="388">
        <v>5.4</v>
      </c>
      <c r="CA46" s="381">
        <f t="shared" si="59"/>
        <v>7.7100000000000009</v>
      </c>
      <c r="CB46" s="388">
        <v>5.07</v>
      </c>
      <c r="CC46" s="381">
        <f t="shared" si="60"/>
        <v>7.3100000000000023</v>
      </c>
      <c r="CD46" s="388">
        <v>4.79</v>
      </c>
      <c r="CE46" s="381">
        <f t="shared" si="61"/>
        <v>6.8600000000000039</v>
      </c>
      <c r="CF46" s="388">
        <v>4.5599999999999996</v>
      </c>
      <c r="CG46" s="381">
        <f t="shared" si="62"/>
        <v>6.509999999999998</v>
      </c>
      <c r="CH46" s="388">
        <v>4.17</v>
      </c>
    </row>
    <row r="47" spans="1:86" ht="20.149999999999999" customHeight="1" thickBot="1" x14ac:dyDescent="0.3">
      <c r="A47" s="10"/>
      <c r="B47" s="483"/>
      <c r="C47" s="484"/>
      <c r="D47" s="485" t="str">
        <f>IF(B46&gt;D46,"Bedingung nicht erfüllt!","Bedingung erfüllt!")</f>
        <v>Bedingung erfüllt!</v>
      </c>
      <c r="E47" s="486"/>
      <c r="G47" s="369" t="s">
        <v>213</v>
      </c>
      <c r="H47" s="502">
        <f>VLOOKUP($D$27,Daten!$A$44:$B$47,2)</f>
        <v>0.873</v>
      </c>
      <c r="I47" s="24"/>
      <c r="J47" s="373">
        <f>IF(AND($D$6&gt;J46,$D$6&lt;J48),$D$6,"nicht interpolieren")</f>
        <v>1.1000000000000001</v>
      </c>
      <c r="K47" s="374">
        <f>K46-(K46-K48)*(J47-J46)/(J48-J46)</f>
        <v>0.98199999999999998</v>
      </c>
      <c r="M47" s="387" t="s">
        <v>550</v>
      </c>
      <c r="N47" s="380">
        <f t="shared" si="63"/>
        <v>6.58</v>
      </c>
      <c r="O47" s="388">
        <f t="shared" si="36"/>
        <v>7.34</v>
      </c>
      <c r="P47" s="388">
        <f t="shared" si="64"/>
        <v>6.2</v>
      </c>
      <c r="Q47" s="388">
        <f t="shared" si="37"/>
        <v>7.34</v>
      </c>
      <c r="R47" s="388">
        <v>5.82</v>
      </c>
      <c r="S47" s="388">
        <f t="shared" si="38"/>
        <v>7.34</v>
      </c>
      <c r="T47" s="388">
        <v>5.44</v>
      </c>
      <c r="U47" s="388">
        <f t="shared" si="39"/>
        <v>6.8900000000000006</v>
      </c>
      <c r="V47" s="388">
        <v>5.15</v>
      </c>
      <c r="W47" s="388">
        <f t="shared" si="40"/>
        <v>6.5900000000000016</v>
      </c>
      <c r="X47" s="388">
        <v>4.91</v>
      </c>
      <c r="Y47" s="388">
        <f t="shared" si="41"/>
        <v>6.3100000000000014</v>
      </c>
      <c r="Z47" s="388">
        <v>4.71</v>
      </c>
      <c r="AA47" s="388">
        <f t="shared" si="42"/>
        <v>6.0699999999999994</v>
      </c>
      <c r="AB47" s="388">
        <v>4.54</v>
      </c>
      <c r="AC47" s="388">
        <f t="shared" si="43"/>
        <v>5.8900000000000032</v>
      </c>
      <c r="AD47" s="388">
        <v>4.3899999999999997</v>
      </c>
      <c r="AE47" s="388">
        <f t="shared" si="44"/>
        <v>5.64</v>
      </c>
      <c r="AF47" s="646">
        <v>4.1399999999999997</v>
      </c>
      <c r="AH47" s="369" t="s">
        <v>226</v>
      </c>
      <c r="AI47" s="502">
        <f>VLOOKUP($D$27,Daten!$A$44:$B$47,2)</f>
        <v>0.873</v>
      </c>
      <c r="AJ47" s="24"/>
      <c r="AK47" s="373">
        <f>IF(AND($D$6&gt;AK46,$D$6&lt;AK48),$D$6,"nicht interpolieren")</f>
        <v>1.1000000000000001</v>
      </c>
      <c r="AL47" s="374">
        <f>AL46-(AL46-AL48)*(AK47-AK46)/(AK48-AK46)</f>
        <v>0.97399999999999998</v>
      </c>
      <c r="AN47" s="382" t="s">
        <v>550</v>
      </c>
      <c r="AO47" s="380">
        <f t="shared" si="65"/>
        <v>8.2000000000000011</v>
      </c>
      <c r="AP47" s="388">
        <f t="shared" si="45"/>
        <v>9.5000000000000018</v>
      </c>
      <c r="AQ47" s="388">
        <f t="shared" si="66"/>
        <v>7.5500000000000007</v>
      </c>
      <c r="AR47" s="388">
        <f t="shared" si="46"/>
        <v>9.5000000000000018</v>
      </c>
      <c r="AS47" s="380">
        <v>6.9</v>
      </c>
      <c r="AT47" s="381">
        <f t="shared" si="47"/>
        <v>9.5000000000000018</v>
      </c>
      <c r="AU47" s="388">
        <v>6.25</v>
      </c>
      <c r="AV47" s="381">
        <f t="shared" si="48"/>
        <v>8.75</v>
      </c>
      <c r="AW47" s="388">
        <v>5.75</v>
      </c>
      <c r="AX47" s="381">
        <f t="shared" si="49"/>
        <v>8.1500000000000021</v>
      </c>
      <c r="AY47" s="388">
        <v>5.35</v>
      </c>
      <c r="AZ47" s="381">
        <f t="shared" si="50"/>
        <v>7.5899999999999954</v>
      </c>
      <c r="BA47" s="388">
        <v>5.03</v>
      </c>
      <c r="BB47" s="381">
        <f t="shared" si="51"/>
        <v>7.1900000000000039</v>
      </c>
      <c r="BC47" s="388">
        <v>4.76</v>
      </c>
      <c r="BD47" s="381">
        <f t="shared" si="52"/>
        <v>6.8299999999999956</v>
      </c>
      <c r="BE47" s="388">
        <v>4.53</v>
      </c>
      <c r="BF47" s="381">
        <f t="shared" si="53"/>
        <v>6.43</v>
      </c>
      <c r="BG47" s="646">
        <v>4.1500000000000004</v>
      </c>
      <c r="BI47" s="369" t="s">
        <v>233</v>
      </c>
      <c r="BJ47" s="502">
        <f>VLOOKUP($D$27,Daten!$A$44:$B$47,2)</f>
        <v>0.873</v>
      </c>
      <c r="BO47" s="382" t="s">
        <v>550</v>
      </c>
      <c r="BP47" s="380">
        <f t="shared" si="67"/>
        <v>9.259999999999998</v>
      </c>
      <c r="BQ47" s="388">
        <f t="shared" si="54"/>
        <v>10.839999999999996</v>
      </c>
      <c r="BR47" s="388">
        <f t="shared" si="68"/>
        <v>8.4699999999999989</v>
      </c>
      <c r="BS47" s="388">
        <f t="shared" si="55"/>
        <v>10.839999999999996</v>
      </c>
      <c r="BT47" s="380">
        <v>7.68</v>
      </c>
      <c r="BU47" s="381">
        <f t="shared" si="56"/>
        <v>10.84</v>
      </c>
      <c r="BV47" s="388">
        <v>6.89</v>
      </c>
      <c r="BW47" s="381">
        <f t="shared" si="57"/>
        <v>9.7899999999999991</v>
      </c>
      <c r="BX47" s="388">
        <v>6.31</v>
      </c>
      <c r="BY47" s="381">
        <f t="shared" si="58"/>
        <v>9.07</v>
      </c>
      <c r="BZ47" s="388">
        <v>5.85</v>
      </c>
      <c r="CA47" s="381">
        <f t="shared" si="59"/>
        <v>8.4399999999999942</v>
      </c>
      <c r="CB47" s="388">
        <v>5.48</v>
      </c>
      <c r="CC47" s="381">
        <f t="shared" si="60"/>
        <v>7.8800000000000061</v>
      </c>
      <c r="CD47" s="388">
        <v>5.18</v>
      </c>
      <c r="CE47" s="381">
        <f t="shared" si="61"/>
        <v>7.6099999999999959</v>
      </c>
      <c r="CF47" s="388">
        <v>4.91</v>
      </c>
      <c r="CG47" s="381">
        <f t="shared" si="62"/>
        <v>7.01</v>
      </c>
      <c r="CH47" s="388">
        <v>4.49</v>
      </c>
    </row>
    <row r="48" spans="1:86" ht="20.149999999999999" customHeight="1" x14ac:dyDescent="0.25">
      <c r="A48" s="10"/>
      <c r="B48" s="18"/>
      <c r="C48" s="18"/>
      <c r="D48" s="227"/>
      <c r="E48" s="18"/>
      <c r="I48" s="24"/>
      <c r="J48" s="373">
        <v>1.5</v>
      </c>
      <c r="K48" s="374">
        <v>0.91</v>
      </c>
      <c r="M48" s="639" t="s">
        <v>551</v>
      </c>
      <c r="N48" s="380">
        <f t="shared" si="63"/>
        <v>7.4700000000000006</v>
      </c>
      <c r="O48" s="388">
        <f t="shared" si="36"/>
        <v>8.2900000000000009</v>
      </c>
      <c r="P48" s="388">
        <f t="shared" si="64"/>
        <v>7.0600000000000005</v>
      </c>
      <c r="Q48" s="388">
        <f t="shared" si="37"/>
        <v>8.2900000000000009</v>
      </c>
      <c r="R48" s="388">
        <v>6.65</v>
      </c>
      <c r="S48" s="388">
        <f t="shared" si="38"/>
        <v>8.2900000000000009</v>
      </c>
      <c r="T48" s="388">
        <v>6.24</v>
      </c>
      <c r="U48" s="388">
        <f t="shared" si="39"/>
        <v>7.8900000000000006</v>
      </c>
      <c r="V48" s="388">
        <v>5.91</v>
      </c>
      <c r="W48" s="388">
        <f t="shared" si="40"/>
        <v>7.4699999999999989</v>
      </c>
      <c r="X48" s="388">
        <v>5.65</v>
      </c>
      <c r="Y48" s="388">
        <f t="shared" si="41"/>
        <v>7.2600000000000033</v>
      </c>
      <c r="Z48" s="388">
        <v>5.42</v>
      </c>
      <c r="AA48" s="388">
        <f t="shared" si="42"/>
        <v>6.9399999999999959</v>
      </c>
      <c r="AB48" s="388">
        <v>5.23</v>
      </c>
      <c r="AC48" s="388">
        <f t="shared" si="43"/>
        <v>6.7600000000000078</v>
      </c>
      <c r="AD48" s="388">
        <v>5.0599999999999996</v>
      </c>
      <c r="AE48" s="388">
        <f t="shared" si="44"/>
        <v>6.4599999999999964</v>
      </c>
      <c r="AF48" s="646">
        <v>4.78</v>
      </c>
      <c r="AH48" s="8"/>
      <c r="AJ48" s="24"/>
      <c r="AK48" s="373">
        <v>1.5</v>
      </c>
      <c r="AL48" s="374">
        <v>0.87</v>
      </c>
      <c r="AN48" s="383" t="s">
        <v>551</v>
      </c>
      <c r="AO48" s="380">
        <f t="shared" si="65"/>
        <v>9.7200000000000024</v>
      </c>
      <c r="AP48" s="388">
        <f t="shared" si="45"/>
        <v>11.220000000000002</v>
      </c>
      <c r="AQ48" s="388">
        <f t="shared" si="66"/>
        <v>8.9700000000000024</v>
      </c>
      <c r="AR48" s="388">
        <f t="shared" si="46"/>
        <v>11.220000000000008</v>
      </c>
      <c r="AS48" s="381">
        <v>8.2200000000000006</v>
      </c>
      <c r="AT48" s="381">
        <f t="shared" si="47"/>
        <v>11.220000000000004</v>
      </c>
      <c r="AU48" s="381">
        <v>7.47</v>
      </c>
      <c r="AV48" s="381">
        <f t="shared" si="48"/>
        <v>10.370000000000001</v>
      </c>
      <c r="AW48" s="381">
        <v>6.89</v>
      </c>
      <c r="AX48" s="381">
        <f t="shared" si="49"/>
        <v>9.6499999999999986</v>
      </c>
      <c r="AY48" s="381">
        <v>6.43</v>
      </c>
      <c r="AZ48" s="381">
        <f t="shared" si="50"/>
        <v>9.09</v>
      </c>
      <c r="BA48" s="381">
        <v>6.05</v>
      </c>
      <c r="BB48" s="381">
        <f t="shared" si="51"/>
        <v>8.6099999999999959</v>
      </c>
      <c r="BC48" s="381">
        <v>5.73</v>
      </c>
      <c r="BD48" s="381">
        <f t="shared" si="52"/>
        <v>8.2500000000000036</v>
      </c>
      <c r="BE48" s="381">
        <v>5.45</v>
      </c>
      <c r="BF48" s="381">
        <f t="shared" si="53"/>
        <v>7.6500000000000021</v>
      </c>
      <c r="BG48" s="648">
        <v>5.01</v>
      </c>
      <c r="BI48" s="8"/>
      <c r="BO48" s="383" t="s">
        <v>551</v>
      </c>
      <c r="BP48" s="380">
        <f t="shared" si="67"/>
        <v>10.950000000000001</v>
      </c>
      <c r="BQ48" s="388">
        <f t="shared" si="54"/>
        <v>12.750000000000002</v>
      </c>
      <c r="BR48" s="388">
        <f t="shared" si="68"/>
        <v>10.050000000000001</v>
      </c>
      <c r="BS48" s="388">
        <f t="shared" si="55"/>
        <v>12.750000000000002</v>
      </c>
      <c r="BT48" s="381">
        <v>9.15</v>
      </c>
      <c r="BU48" s="381">
        <f t="shared" si="56"/>
        <v>12.750000000000002</v>
      </c>
      <c r="BV48" s="381">
        <v>8.25</v>
      </c>
      <c r="BW48" s="381">
        <f t="shared" si="57"/>
        <v>11.649999999999999</v>
      </c>
      <c r="BX48" s="381">
        <v>7.57</v>
      </c>
      <c r="BY48" s="381">
        <f t="shared" si="58"/>
        <v>10.750000000000002</v>
      </c>
      <c r="BZ48" s="381">
        <v>7.04</v>
      </c>
      <c r="CA48" s="381">
        <f t="shared" si="59"/>
        <v>10.120000000000003</v>
      </c>
      <c r="CB48" s="381">
        <v>6.6</v>
      </c>
      <c r="CC48" s="381">
        <f t="shared" si="60"/>
        <v>9.4799999999999951</v>
      </c>
      <c r="CD48" s="381">
        <v>6.24</v>
      </c>
      <c r="CE48" s="381">
        <f t="shared" si="61"/>
        <v>9.0300000000000047</v>
      </c>
      <c r="CF48" s="381">
        <v>5.93</v>
      </c>
      <c r="CG48" s="381">
        <f t="shared" si="62"/>
        <v>8.43</v>
      </c>
      <c r="CH48" s="381">
        <v>5.43</v>
      </c>
    </row>
    <row r="49" spans="1:86" ht="20.149999999999999" customHeight="1" x14ac:dyDescent="0.25">
      <c r="B49" s="18"/>
      <c r="C49" s="120"/>
      <c r="D49" s="121"/>
      <c r="E49" s="18"/>
      <c r="G49" s="598" t="s">
        <v>448</v>
      </c>
      <c r="H49" s="369">
        <f>VLOOKUP($B$32,Daten!$A$104:$B$110,2)</f>
        <v>1.34</v>
      </c>
      <c r="J49" s="373" t="str">
        <f>IF(AND(D$6&gt;J48,$D$6&lt;J50),$D$6,"nicht interpolieren")</f>
        <v>nicht interpolieren</v>
      </c>
      <c r="K49" s="374" t="e">
        <f>K48-(K48-K50)*(J49-J48)/(J50-J48)</f>
        <v>#VALUE!</v>
      </c>
      <c r="M49" s="637" t="s">
        <v>552</v>
      </c>
      <c r="N49" s="380">
        <f t="shared" si="63"/>
        <v>7.77</v>
      </c>
      <c r="O49" s="388">
        <f t="shared" si="36"/>
        <v>8.61</v>
      </c>
      <c r="P49" s="388">
        <f t="shared" si="64"/>
        <v>7.35</v>
      </c>
      <c r="Q49" s="388">
        <f t="shared" si="37"/>
        <v>8.61</v>
      </c>
      <c r="R49" s="388">
        <v>6.93</v>
      </c>
      <c r="S49" s="388">
        <f t="shared" si="38"/>
        <v>8.61</v>
      </c>
      <c r="T49" s="388">
        <v>6.51</v>
      </c>
      <c r="U49" s="388">
        <f t="shared" si="39"/>
        <v>8.16</v>
      </c>
      <c r="V49" s="388">
        <v>6.18</v>
      </c>
      <c r="W49" s="388">
        <f t="shared" si="40"/>
        <v>7.8599999999999959</v>
      </c>
      <c r="X49" s="388">
        <v>5.9</v>
      </c>
      <c r="Y49" s="388">
        <f t="shared" si="41"/>
        <v>7.5100000000000033</v>
      </c>
      <c r="Z49" s="388">
        <v>5.67</v>
      </c>
      <c r="AA49" s="388">
        <f t="shared" si="42"/>
        <v>7.2700000000000014</v>
      </c>
      <c r="AB49" s="388">
        <v>5.47</v>
      </c>
      <c r="AC49" s="388">
        <f t="shared" si="43"/>
        <v>6.9999999999999991</v>
      </c>
      <c r="AD49" s="388">
        <v>5.3</v>
      </c>
      <c r="AE49" s="388">
        <f t="shared" si="44"/>
        <v>6.75</v>
      </c>
      <c r="AF49" s="646">
        <v>5.01</v>
      </c>
      <c r="AH49" s="8"/>
      <c r="AK49" s="373" t="str">
        <f>IF(AND(AA$9&gt;AK48,$D$6&lt;AK50),$D$6,"nicht interpolieren")</f>
        <v>nicht interpolieren</v>
      </c>
      <c r="AL49" s="374" t="e">
        <f>AL48-(AL48-AL50)*(AK49-AK48)/(AK50-AK48)</f>
        <v>#VALUE!</v>
      </c>
      <c r="AN49" s="384" t="s">
        <v>552</v>
      </c>
      <c r="AO49" s="380">
        <f t="shared" si="65"/>
        <v>10.329999999999998</v>
      </c>
      <c r="AP49" s="388">
        <f t="shared" si="45"/>
        <v>11.909999999999997</v>
      </c>
      <c r="AQ49" s="388">
        <f t="shared" si="66"/>
        <v>9.5399999999999991</v>
      </c>
      <c r="AR49" s="388">
        <f t="shared" si="46"/>
        <v>11.909999999999997</v>
      </c>
      <c r="AS49" s="385">
        <v>8.75</v>
      </c>
      <c r="AT49" s="386">
        <f t="shared" si="47"/>
        <v>11.91</v>
      </c>
      <c r="AU49" s="396">
        <v>7.96</v>
      </c>
      <c r="AV49" s="386">
        <f t="shared" si="48"/>
        <v>11.010000000000002</v>
      </c>
      <c r="AW49" s="396">
        <v>7.35</v>
      </c>
      <c r="AX49" s="386">
        <f t="shared" si="49"/>
        <v>10.229999999999997</v>
      </c>
      <c r="AY49" s="396">
        <v>6.87</v>
      </c>
      <c r="AZ49" s="386">
        <f t="shared" si="50"/>
        <v>9.6700000000000017</v>
      </c>
      <c r="BA49" s="396">
        <v>6.47</v>
      </c>
      <c r="BB49" s="386">
        <f t="shared" si="51"/>
        <v>9.1899999999999977</v>
      </c>
      <c r="BC49" s="396">
        <v>6.13</v>
      </c>
      <c r="BD49" s="386">
        <f t="shared" si="52"/>
        <v>8.74</v>
      </c>
      <c r="BE49" s="396">
        <v>5.84</v>
      </c>
      <c r="BF49" s="386">
        <f t="shared" si="53"/>
        <v>8.2399999999999984</v>
      </c>
      <c r="BG49" s="646">
        <v>5.36</v>
      </c>
      <c r="BI49" s="8"/>
      <c r="BO49" s="384" t="s">
        <v>552</v>
      </c>
      <c r="BP49" s="380">
        <f t="shared" si="67"/>
        <v>11.629999999999999</v>
      </c>
      <c r="BQ49" s="388">
        <f t="shared" si="54"/>
        <v>13.509999999999998</v>
      </c>
      <c r="BR49" s="388">
        <f t="shared" si="68"/>
        <v>10.69</v>
      </c>
      <c r="BS49" s="388">
        <f t="shared" si="55"/>
        <v>13.509999999999998</v>
      </c>
      <c r="BT49" s="385">
        <v>9.75</v>
      </c>
      <c r="BU49" s="386">
        <f t="shared" si="56"/>
        <v>13.509999999999998</v>
      </c>
      <c r="BV49" s="396">
        <v>8.81</v>
      </c>
      <c r="BW49" s="386">
        <f t="shared" si="57"/>
        <v>12.410000000000004</v>
      </c>
      <c r="BX49" s="396">
        <v>8.09</v>
      </c>
      <c r="BY49" s="386">
        <f t="shared" si="58"/>
        <v>11.510000000000002</v>
      </c>
      <c r="BZ49" s="396">
        <v>7.52</v>
      </c>
      <c r="CA49" s="386">
        <f t="shared" si="59"/>
        <v>10.739999999999998</v>
      </c>
      <c r="CB49" s="396">
        <v>7.06</v>
      </c>
      <c r="CC49" s="386">
        <f t="shared" si="60"/>
        <v>10.099999999999998</v>
      </c>
      <c r="CD49" s="396">
        <v>6.68</v>
      </c>
      <c r="CE49" s="386">
        <f t="shared" si="61"/>
        <v>9.65</v>
      </c>
      <c r="CF49" s="396">
        <v>6.35</v>
      </c>
      <c r="CG49" s="386">
        <f t="shared" si="62"/>
        <v>8.9999999999999964</v>
      </c>
      <c r="CH49" s="388">
        <v>5.82</v>
      </c>
    </row>
    <row r="50" spans="1:86" ht="20.149999999999999" customHeight="1" x14ac:dyDescent="0.25">
      <c r="B50" s="18"/>
      <c r="C50" s="120"/>
      <c r="D50" s="121"/>
      <c r="E50" s="18"/>
      <c r="J50" s="373">
        <v>2</v>
      </c>
      <c r="K50" s="374">
        <v>0.85</v>
      </c>
      <c r="M50" s="387" t="s">
        <v>545</v>
      </c>
      <c r="N50" s="380">
        <f t="shared" ref="N50:N57" si="69">P50+(R50-T50)</f>
        <v>4.33</v>
      </c>
      <c r="O50" s="388">
        <f t="shared" si="36"/>
        <v>4.8100000000000005</v>
      </c>
      <c r="P50" s="388">
        <f t="shared" si="64"/>
        <v>4.09</v>
      </c>
      <c r="Q50" s="388">
        <f t="shared" si="37"/>
        <v>4.8099999999999987</v>
      </c>
      <c r="R50" s="388">
        <v>3.85</v>
      </c>
      <c r="S50" s="388">
        <f t="shared" si="38"/>
        <v>4.8100000000000005</v>
      </c>
      <c r="T50" s="388">
        <v>3.61</v>
      </c>
      <c r="U50" s="388">
        <f t="shared" si="39"/>
        <v>4.6099999999999985</v>
      </c>
      <c r="V50" s="388">
        <v>3.41</v>
      </c>
      <c r="W50" s="388">
        <f t="shared" si="40"/>
        <v>4.370000000000001</v>
      </c>
      <c r="X50" s="388">
        <v>3.25</v>
      </c>
      <c r="Y50" s="388">
        <f t="shared" si="41"/>
        <v>4.1599999999999993</v>
      </c>
      <c r="Z50" s="388">
        <v>3.12</v>
      </c>
      <c r="AA50" s="388">
        <f t="shared" si="42"/>
        <v>4.0000000000000027</v>
      </c>
      <c r="AB50" s="388">
        <v>3.01</v>
      </c>
      <c r="AC50" s="388">
        <f t="shared" si="43"/>
        <v>3.9099999999999966</v>
      </c>
      <c r="AD50" s="388">
        <v>2.91</v>
      </c>
      <c r="AE50" s="388">
        <f t="shared" si="44"/>
        <v>3.7100000000000009</v>
      </c>
      <c r="AF50" s="646">
        <v>2.75</v>
      </c>
      <c r="AH50" s="8"/>
      <c r="AK50" s="373">
        <v>2</v>
      </c>
      <c r="AL50" s="374">
        <v>0.78</v>
      </c>
      <c r="AN50" s="387" t="s">
        <v>545</v>
      </c>
      <c r="AO50" s="380">
        <f t="shared" si="65"/>
        <v>5.2000000000000011</v>
      </c>
      <c r="AP50" s="388">
        <f t="shared" si="45"/>
        <v>6.0400000000000009</v>
      </c>
      <c r="AQ50" s="388">
        <f t="shared" si="66"/>
        <v>4.7800000000000011</v>
      </c>
      <c r="AR50" s="388">
        <f t="shared" si="46"/>
        <v>6.0400000000000036</v>
      </c>
      <c r="AS50" s="380">
        <v>4.3600000000000003</v>
      </c>
      <c r="AT50" s="388">
        <f t="shared" si="47"/>
        <v>6.0400000000000018</v>
      </c>
      <c r="AU50" s="388">
        <v>3.94</v>
      </c>
      <c r="AV50" s="388">
        <f t="shared" si="48"/>
        <v>5.49</v>
      </c>
      <c r="AW50" s="388">
        <v>3.63</v>
      </c>
      <c r="AX50" s="388">
        <f t="shared" si="49"/>
        <v>5.13</v>
      </c>
      <c r="AY50" s="388">
        <v>3.38</v>
      </c>
      <c r="AZ50" s="388">
        <f t="shared" si="50"/>
        <v>4.8499999999999996</v>
      </c>
      <c r="BA50" s="388">
        <v>3.17</v>
      </c>
      <c r="BB50" s="388">
        <f t="shared" si="51"/>
        <v>4.5299999999999994</v>
      </c>
      <c r="BC50" s="388">
        <v>3</v>
      </c>
      <c r="BD50" s="388">
        <f t="shared" si="52"/>
        <v>4.2600000000000016</v>
      </c>
      <c r="BE50" s="388">
        <v>2.86</v>
      </c>
      <c r="BF50" s="388">
        <f t="shared" si="53"/>
        <v>4.0599999999999987</v>
      </c>
      <c r="BG50" s="646">
        <v>2.62</v>
      </c>
      <c r="BI50" s="8"/>
      <c r="BO50" s="387" t="s">
        <v>545</v>
      </c>
      <c r="BP50" s="380">
        <f t="shared" si="67"/>
        <v>5.82</v>
      </c>
      <c r="BQ50" s="388">
        <f t="shared" si="54"/>
        <v>6.8000000000000007</v>
      </c>
      <c r="BR50" s="388">
        <f t="shared" si="68"/>
        <v>5.33</v>
      </c>
      <c r="BS50" s="388">
        <f t="shared" si="55"/>
        <v>6.8000000000000007</v>
      </c>
      <c r="BT50" s="380">
        <v>4.84</v>
      </c>
      <c r="BU50" s="388">
        <f t="shared" si="56"/>
        <v>6.8000000000000007</v>
      </c>
      <c r="BV50" s="388">
        <v>4.3499999999999996</v>
      </c>
      <c r="BW50" s="388">
        <f t="shared" si="57"/>
        <v>6.1999999999999975</v>
      </c>
      <c r="BX50" s="388">
        <v>3.98</v>
      </c>
      <c r="BY50" s="388">
        <f t="shared" si="58"/>
        <v>5.7200000000000006</v>
      </c>
      <c r="BZ50" s="388">
        <v>3.69</v>
      </c>
      <c r="CA50" s="388">
        <f t="shared" si="59"/>
        <v>5.3</v>
      </c>
      <c r="CB50" s="388">
        <v>3.46</v>
      </c>
      <c r="CC50" s="388">
        <f t="shared" si="60"/>
        <v>4.9799999999999995</v>
      </c>
      <c r="CD50" s="388">
        <v>3.27</v>
      </c>
      <c r="CE50" s="388">
        <f t="shared" si="61"/>
        <v>4.7999999999999989</v>
      </c>
      <c r="CF50" s="388">
        <v>3.1</v>
      </c>
      <c r="CG50" s="388">
        <f t="shared" si="62"/>
        <v>4.45</v>
      </c>
      <c r="CH50" s="388">
        <v>2.83</v>
      </c>
    </row>
    <row r="51" spans="1:86" ht="20.149999999999999" customHeight="1" thickBot="1" x14ac:dyDescent="0.3">
      <c r="B51" s="18"/>
      <c r="C51" s="120"/>
      <c r="D51" s="122"/>
      <c r="E51" s="18"/>
      <c r="J51" s="373" t="str">
        <f>IF(AND($D$6&gt;J50,$D$6&lt;J52),$D$6,"nicht interpolieren")</f>
        <v>nicht interpolieren</v>
      </c>
      <c r="K51" s="374" t="e">
        <f>K50-(K50-K52)*(J51-J50)/(J52-J50)</f>
        <v>#VALUE!</v>
      </c>
      <c r="M51" s="389" t="s">
        <v>546</v>
      </c>
      <c r="N51" s="390">
        <f t="shared" si="69"/>
        <v>5.46</v>
      </c>
      <c r="O51" s="391">
        <f t="shared" ref="O51:O57" si="70">N51-(N51-P51)*(O$41-N$41)/(P$41-N$41)</f>
        <v>6.04</v>
      </c>
      <c r="P51" s="391">
        <f>R51+(R51-T51)</f>
        <v>5.17</v>
      </c>
      <c r="Q51" s="391">
        <f>P51-(P51-R51)*(Q$41-P$41)/(R$41-P$41)</f>
        <v>6.04</v>
      </c>
      <c r="R51" s="391">
        <v>4.88</v>
      </c>
      <c r="S51" s="391">
        <f>R51-(R51-T51)*(S$41-R$41)/(T$41-R$41)</f>
        <v>6.04</v>
      </c>
      <c r="T51" s="391">
        <v>4.59</v>
      </c>
      <c r="U51" s="391">
        <f>T51-(T51-V51)*(U$41-T$41)/(V$41-T$41)</f>
        <v>5.7900000000000009</v>
      </c>
      <c r="V51" s="391">
        <v>4.3499999999999996</v>
      </c>
      <c r="W51" s="391">
        <f>V51-(V51-X51)*(W$41-V$41)/(X$41-V$41)</f>
        <v>5.5499999999999954</v>
      </c>
      <c r="X51" s="391">
        <v>4.1500000000000004</v>
      </c>
      <c r="Y51" s="391">
        <f>X51-(X51-Z51)*(Y$41-X$41)/(Z$41-X$41)</f>
        <v>5.2700000000000014</v>
      </c>
      <c r="Z51" s="391">
        <v>3.99</v>
      </c>
      <c r="AA51" s="391">
        <f>Z51-(Z51-AB51)*(AA$41-Z$41)/(AB$41-Z$41)</f>
        <v>5.1100000000000012</v>
      </c>
      <c r="AB51" s="391">
        <v>3.85</v>
      </c>
      <c r="AC51" s="391">
        <f>AB51-(AB51-AD51)*(AC$41-AB$41)/(AD$41-AB$41)</f>
        <v>4.9300000000000015</v>
      </c>
      <c r="AD51" s="391">
        <v>3.73</v>
      </c>
      <c r="AE51" s="391">
        <f>AD51-(AD51-AF51)*(AE$41-AD$41)/(AF$41-AD$41)</f>
        <v>4.7799999999999994</v>
      </c>
      <c r="AF51" s="647">
        <v>3.52</v>
      </c>
      <c r="AH51" s="8"/>
      <c r="AK51" s="373" t="str">
        <f>IF(AND($D$6&gt;AK50,$D$6&lt;AK52),$D$6,"nicht interpolieren")</f>
        <v>nicht interpolieren</v>
      </c>
      <c r="AL51" s="374" t="e">
        <f>AL50-(AL50-AL52)*(AK51-AK50)/(AK52-AK50)</f>
        <v>#VALUE!</v>
      </c>
      <c r="AN51" s="389" t="s">
        <v>546</v>
      </c>
      <c r="AO51" s="390">
        <f t="shared" si="65"/>
        <v>7.2100000000000017</v>
      </c>
      <c r="AP51" s="391">
        <f t="shared" si="45"/>
        <v>8.3100000000000023</v>
      </c>
      <c r="AQ51" s="391">
        <f>AS51+(AS51-AU51)</f>
        <v>6.660000000000001</v>
      </c>
      <c r="AR51" s="391">
        <f t="shared" si="46"/>
        <v>8.3100000000000023</v>
      </c>
      <c r="AS51" s="390">
        <v>6.11</v>
      </c>
      <c r="AT51" s="391">
        <f t="shared" si="47"/>
        <v>8.3100000000000023</v>
      </c>
      <c r="AU51" s="391">
        <v>5.56</v>
      </c>
      <c r="AV51" s="391">
        <f t="shared" si="48"/>
        <v>7.7099999999999982</v>
      </c>
      <c r="AW51" s="391">
        <v>5.13</v>
      </c>
      <c r="AX51" s="391">
        <f t="shared" si="49"/>
        <v>7.169999999999999</v>
      </c>
      <c r="AY51" s="391">
        <v>4.79</v>
      </c>
      <c r="AZ51" s="391">
        <f t="shared" si="50"/>
        <v>6.7500000000000018</v>
      </c>
      <c r="BA51" s="391">
        <v>4.51</v>
      </c>
      <c r="BB51" s="391">
        <f t="shared" si="51"/>
        <v>6.4300000000000015</v>
      </c>
      <c r="BC51" s="391">
        <v>4.2699999999999996</v>
      </c>
      <c r="BD51" s="391">
        <f t="shared" si="52"/>
        <v>6.0699999999999932</v>
      </c>
      <c r="BE51" s="391">
        <v>4.07</v>
      </c>
      <c r="BF51" s="391">
        <f t="shared" si="53"/>
        <v>5.7200000000000006</v>
      </c>
      <c r="BG51" s="647">
        <v>3.74</v>
      </c>
      <c r="BI51" s="8"/>
      <c r="BO51" s="389" t="s">
        <v>546</v>
      </c>
      <c r="BP51" s="390">
        <f t="shared" si="67"/>
        <v>8.129999999999999</v>
      </c>
      <c r="BQ51" s="391">
        <f t="shared" si="54"/>
        <v>9.4499999999999993</v>
      </c>
      <c r="BR51" s="391">
        <f>BT51+(BT51-BV51)</f>
        <v>7.4699999999999989</v>
      </c>
      <c r="BS51" s="391">
        <f t="shared" si="55"/>
        <v>9.4499999999999957</v>
      </c>
      <c r="BT51" s="390">
        <v>6.81</v>
      </c>
      <c r="BU51" s="391">
        <f t="shared" si="56"/>
        <v>9.4499999999999957</v>
      </c>
      <c r="BV51" s="391">
        <v>6.15</v>
      </c>
      <c r="BW51" s="391">
        <f t="shared" si="57"/>
        <v>8.7000000000000028</v>
      </c>
      <c r="BX51" s="391">
        <v>5.64</v>
      </c>
      <c r="BY51" s="391">
        <f t="shared" si="58"/>
        <v>7.9799999999999978</v>
      </c>
      <c r="BZ51" s="391">
        <v>5.25</v>
      </c>
      <c r="CA51" s="391">
        <f t="shared" si="59"/>
        <v>7.5600000000000005</v>
      </c>
      <c r="CB51" s="391">
        <v>4.92</v>
      </c>
      <c r="CC51" s="391">
        <f t="shared" si="60"/>
        <v>7.0799999999999965</v>
      </c>
      <c r="CD51" s="391">
        <v>4.6500000000000004</v>
      </c>
      <c r="CE51" s="391">
        <f t="shared" si="61"/>
        <v>6.7200000000000042</v>
      </c>
      <c r="CF51" s="391">
        <v>4.42</v>
      </c>
      <c r="CG51" s="391">
        <f t="shared" si="62"/>
        <v>6.2700000000000005</v>
      </c>
      <c r="CH51" s="388">
        <v>4.05</v>
      </c>
    </row>
    <row r="52" spans="1:86" ht="20.149999999999999" customHeight="1" thickBot="1" x14ac:dyDescent="0.3">
      <c r="B52" s="18"/>
      <c r="C52" s="120"/>
      <c r="D52" s="119"/>
      <c r="E52" s="18"/>
      <c r="G52" s="397" t="s">
        <v>329</v>
      </c>
      <c r="H52" s="371">
        <f>O59</f>
        <v>3.25</v>
      </c>
      <c r="J52" s="373">
        <v>2.5</v>
      </c>
      <c r="K52" s="374">
        <v>0.8</v>
      </c>
      <c r="M52" s="659" t="s">
        <v>547</v>
      </c>
      <c r="N52" s="390">
        <f t="shared" si="69"/>
        <v>5.7999999999999989</v>
      </c>
      <c r="O52" s="391">
        <f t="shared" si="70"/>
        <v>6.4199999999999982</v>
      </c>
      <c r="P52" s="391">
        <f>R52+(R52-T52)</f>
        <v>5.4899999999999993</v>
      </c>
      <c r="Q52" s="391">
        <f>P52-(P52-R52)*(Q$41-P$41)/(R$41-P$41)</f>
        <v>6.4199999999999982</v>
      </c>
      <c r="R52" s="391">
        <v>5.18</v>
      </c>
      <c r="S52" s="391">
        <f>R52-(R52-T52)*(S$41-R$41)/(T$41-R$41)</f>
        <v>6.4199999999999982</v>
      </c>
      <c r="T52" s="391">
        <v>4.87</v>
      </c>
      <c r="U52" s="391">
        <f>T52-(T52-V52)*(U$41-T$41)/(V$41-T$41)</f>
        <v>6.12</v>
      </c>
      <c r="V52" s="391">
        <v>4.62</v>
      </c>
      <c r="W52" s="391">
        <f>V52-(V52-X52)*(W$41-V$41)/(X$41-V$41)</f>
        <v>5.8200000000000012</v>
      </c>
      <c r="X52" s="391">
        <v>4.42</v>
      </c>
      <c r="Y52" s="391">
        <f>X52-(X52-Z52)*(Y$41-X$41)/(Z$41-X$41)</f>
        <v>5.6799999999999979</v>
      </c>
      <c r="Z52" s="391">
        <v>4.24</v>
      </c>
      <c r="AA52" s="391">
        <f>Z52-(Z52-AB52)*(AA$41-Z$41)/(AB$41-Z$41)</f>
        <v>5.3600000000000048</v>
      </c>
      <c r="AB52" s="391">
        <v>4.0999999999999996</v>
      </c>
      <c r="AC52" s="391">
        <f>AB52-(AB52-AD52)*(AC$41-AB$41)/(AD$41-AB$41)</f>
        <v>5.2699999999999942</v>
      </c>
      <c r="AD52" s="391">
        <v>3.97</v>
      </c>
      <c r="AE52" s="391">
        <f>AD52-(AD52-AF52)*(AE$41-AD$41)/(AF$41-AD$41)</f>
        <v>5.0700000000000012</v>
      </c>
      <c r="AF52" s="647">
        <v>3.75</v>
      </c>
      <c r="AH52" s="397" t="s">
        <v>327</v>
      </c>
      <c r="AI52" s="371">
        <f>AP59</f>
        <v>3.38</v>
      </c>
      <c r="AK52" s="373">
        <v>2.5</v>
      </c>
      <c r="AL52" s="374">
        <v>0.72</v>
      </c>
      <c r="AN52" s="659" t="s">
        <v>547</v>
      </c>
      <c r="AO52" s="390">
        <f>AQ52+(AS52-AU52)</f>
        <v>7.8900000000000015</v>
      </c>
      <c r="AP52" s="391">
        <f>AO52-(AO52-AQ52)*(AP$41-AO$41)/(AQ$41-AO$41)</f>
        <v>9.0900000000000034</v>
      </c>
      <c r="AQ52" s="391">
        <f>AS52+(AS52-AU52)</f>
        <v>7.2900000000000009</v>
      </c>
      <c r="AR52" s="391">
        <f>AQ52-(AQ52-AS52)*(AR$41-AQ$41)/(AS$41-AQ$41)</f>
        <v>9.0900000000000034</v>
      </c>
      <c r="AS52" s="390">
        <v>6.69</v>
      </c>
      <c r="AT52" s="391">
        <f>AS52-(AS52-AU52)*(AT$41-AS$41)/(AU$41-AS$41)</f>
        <v>9.0900000000000034</v>
      </c>
      <c r="AU52" s="391">
        <v>6.09</v>
      </c>
      <c r="AV52" s="391">
        <f>AU52-(AU52-AW52)*(AV$41-AU$41)/(AW$41-AU$41)</f>
        <v>8.39</v>
      </c>
      <c r="AW52" s="391">
        <v>5.63</v>
      </c>
      <c r="AX52" s="391">
        <f>AW52-(AW52-AY52)*(AX$41-AW$41)/(AY$41-AW$41)</f>
        <v>7.8500000000000005</v>
      </c>
      <c r="AY52" s="391">
        <v>5.26</v>
      </c>
      <c r="AZ52" s="391">
        <f>AY52-(AY52-BA52)*(AZ$41-AY$41)/(BA$41-AY$41)</f>
        <v>7.3599999999999985</v>
      </c>
      <c r="BA52" s="391">
        <v>4.96</v>
      </c>
      <c r="BB52" s="391">
        <f>BA52-(BA52-BC52)*(BB$41-BA$41)/(BC$41-BA$41)</f>
        <v>7.0399999999999983</v>
      </c>
      <c r="BC52" s="391">
        <v>4.7</v>
      </c>
      <c r="BD52" s="391">
        <f>BC52-(BC52-BE52)*(BD$41-BC$41)/(BE$41-BC$41)</f>
        <v>6.6799999999999979</v>
      </c>
      <c r="BE52" s="391">
        <v>4.4800000000000004</v>
      </c>
      <c r="BF52" s="391">
        <f>BE52-(BE52-BG52)*(BF$41-BE$41)/(BG$41-BE$41)</f>
        <v>6.330000000000001</v>
      </c>
      <c r="BG52" s="647">
        <v>4.1100000000000003</v>
      </c>
      <c r="BI52" s="397" t="s">
        <v>335</v>
      </c>
      <c r="BJ52" s="371">
        <f>BQ59</f>
        <v>3.69</v>
      </c>
      <c r="BO52" s="659" t="s">
        <v>547</v>
      </c>
      <c r="BP52" s="390">
        <f>BR52+(BT52-BV52)</f>
        <v>8.8999999999999986</v>
      </c>
      <c r="BQ52" s="391">
        <f>BP52-(BP52-BR52)*(BQ$41-BP$41)/(BR$41-BP$41)</f>
        <v>10.339999999999996</v>
      </c>
      <c r="BR52" s="391">
        <f>BT52+(BT52-BV52)</f>
        <v>8.18</v>
      </c>
      <c r="BS52" s="391">
        <f>BR52-(BR52-BT52)*(BS$41-BR$41)/(BT$41-BR$41)</f>
        <v>10.34</v>
      </c>
      <c r="BT52" s="390">
        <v>7.46</v>
      </c>
      <c r="BU52" s="391">
        <f>BT52-(BT52-BV52)*(BU$41-BT$41)/(BV$41-BT$41)</f>
        <v>10.34</v>
      </c>
      <c r="BV52" s="391">
        <v>6.74</v>
      </c>
      <c r="BW52" s="391">
        <f>BV52-(BV52-BX52)*(BW$41-BV$41)/(BX$41-BV$41)</f>
        <v>9.4400000000000013</v>
      </c>
      <c r="BX52" s="391">
        <v>6.2</v>
      </c>
      <c r="BY52" s="391">
        <f>BX52-(BX52-BZ52)*(BY$41-BX$41)/(BZ$41-BX$41)</f>
        <v>8.7800000000000047</v>
      </c>
      <c r="BZ52" s="391">
        <v>5.77</v>
      </c>
      <c r="CA52" s="391">
        <f>BZ52-(BZ52-CB52)*(CA$41-BZ$41)/(CB$41-BZ$41)</f>
        <v>8.2199999999999971</v>
      </c>
      <c r="CB52" s="391">
        <v>5.42</v>
      </c>
      <c r="CC52" s="391">
        <f>CB52-(CB52-CD52)*(CC$41-CB$41)/(CD$41-CB$41)</f>
        <v>7.8199999999999985</v>
      </c>
      <c r="CD52" s="391">
        <v>5.12</v>
      </c>
      <c r="CE52" s="391">
        <f>CD52-(CD52-CF52)*(CE$41-CD$41)/(CF$41-CD$41)</f>
        <v>7.37</v>
      </c>
      <c r="CF52" s="391">
        <v>4.87</v>
      </c>
      <c r="CG52" s="391">
        <f>CF52-(CF52-CH52)*(CG$41-CF$41)/(CH$41-CF$41)</f>
        <v>6.9200000000000008</v>
      </c>
      <c r="CH52" s="388">
        <v>4.46</v>
      </c>
    </row>
    <row r="53" spans="1:86" ht="20.149999999999999" customHeight="1" x14ac:dyDescent="0.25">
      <c r="B53" s="16"/>
      <c r="C53" s="116"/>
      <c r="D53" s="117"/>
      <c r="E53" s="18"/>
      <c r="G53" s="397" t="s">
        <v>330</v>
      </c>
      <c r="H53" s="371">
        <f>H52*H42*H43*H44*H45*H46*H47</f>
        <v>2.7583177050000001</v>
      </c>
      <c r="J53" s="373" t="str">
        <f>IF(AND($D$6&gt;J52,$D$6&lt;J54),$D$6,"nicht interpolieren")</f>
        <v>nicht interpolieren</v>
      </c>
      <c r="K53" s="374" t="e">
        <f>K52-(K52-K54)*(J53-J52)/(J54-J52)</f>
        <v>#VALUE!</v>
      </c>
      <c r="M53" s="387" t="s">
        <v>548</v>
      </c>
      <c r="N53" s="380">
        <f t="shared" si="69"/>
        <v>3.4000000000000004</v>
      </c>
      <c r="O53" s="388">
        <f t="shared" si="70"/>
        <v>3.8000000000000007</v>
      </c>
      <c r="P53" s="388">
        <f t="shared" ref="P53" si="71">R53+(R53-T53)</f>
        <v>3.2</v>
      </c>
      <c r="Q53" s="388">
        <f t="shared" ref="Q53" si="72">P53-(P53-R53)*(Q$41-P$41)/(R$41-P$41)</f>
        <v>3.8000000000000007</v>
      </c>
      <c r="R53" s="388">
        <v>3</v>
      </c>
      <c r="S53" s="388">
        <f t="shared" ref="S53" si="73">R53-(R53-T53)*(S$41-R$41)/(T$41-R$41)</f>
        <v>3.8000000000000007</v>
      </c>
      <c r="T53" s="388">
        <v>2.8</v>
      </c>
      <c r="U53" s="388">
        <f t="shared" ref="U53" si="74">T53-(T53-V53)*(U$41-T$41)/(V$41-T$41)</f>
        <v>3.5499999999999994</v>
      </c>
      <c r="V53" s="388">
        <v>2.65</v>
      </c>
      <c r="W53" s="388">
        <f t="shared" ref="W53" si="75">V53-(V53-X53)*(W$41-V$41)/(X$41-V$41)</f>
        <v>3.3700000000000006</v>
      </c>
      <c r="X53" s="388">
        <v>2.5299999999999998</v>
      </c>
      <c r="Y53" s="388">
        <f t="shared" ref="Y53" si="76">X53-(X53-Z53)*(Y$41-X$41)/(Z$41-X$41)</f>
        <v>3.2999999999999989</v>
      </c>
      <c r="Z53" s="388">
        <v>2.42</v>
      </c>
      <c r="AA53" s="388">
        <f t="shared" ref="AA53" si="77">Z53-(Z53-AB53)*(AA$41-Z$41)/(AB$41-Z$41)</f>
        <v>3.0600000000000005</v>
      </c>
      <c r="AB53" s="388">
        <v>2.34</v>
      </c>
      <c r="AC53" s="388">
        <f t="shared" ref="AC53" si="78">AB53-(AB53-AD53)*(AC$41-AB$41)/(AD$41-AB$41)</f>
        <v>3.0600000000000005</v>
      </c>
      <c r="AD53" s="388">
        <v>2.2599999999999998</v>
      </c>
      <c r="AE53" s="388">
        <f t="shared" ref="AE53" si="79">AD53-(AD53-AF53)*(AE$41-AD$41)/(AF$41-AD$41)</f>
        <v>2.9099999999999993</v>
      </c>
      <c r="AF53" s="646">
        <v>2.13</v>
      </c>
      <c r="AH53" s="397" t="s">
        <v>328</v>
      </c>
      <c r="AI53" s="371">
        <f>AI52*AI42*AI43*AI44*AI45*AI46*AI47</f>
        <v>2.8165403447999995</v>
      </c>
      <c r="AK53" s="373" t="str">
        <f>IF(AND($D$6&gt;AK52,$D$6&lt;AK54),$D$6,"nicht interpolieren")</f>
        <v>nicht interpolieren</v>
      </c>
      <c r="AL53" s="374" t="e">
        <f>AL52-(AL52-AL54)*(AK53-AK52)/(AK54-AK52)</f>
        <v>#VALUE!</v>
      </c>
      <c r="AN53" s="387" t="s">
        <v>548</v>
      </c>
      <c r="AO53" s="380">
        <f t="shared" ref="AO53:AO54" si="80">AQ53+(AS53-AU53)</f>
        <v>3.9799999999999995</v>
      </c>
      <c r="AP53" s="388">
        <f t="shared" ref="AP53:AP54" si="81">AO53-(AO53-AQ53)*(AP$41-AO$41)/(AQ$41-AO$41)</f>
        <v>4.6199999999999992</v>
      </c>
      <c r="AQ53" s="388">
        <f t="shared" ref="AQ53" si="82">AS53+(AS53-AU53)</f>
        <v>3.6599999999999997</v>
      </c>
      <c r="AR53" s="388">
        <f t="shared" ref="AR53:AR54" si="83">AQ53-(AQ53-AS53)*(AR$41-AQ$41)/(AS$41-AQ$41)</f>
        <v>4.6199999999999992</v>
      </c>
      <c r="AS53" s="380">
        <v>3.34</v>
      </c>
      <c r="AT53" s="388">
        <f t="shared" ref="AT53:AT54" si="84">AS53-(AS53-AU53)*(AT$41-AS$41)/(AU$41-AS$41)</f>
        <v>4.6199999999999992</v>
      </c>
      <c r="AU53" s="388">
        <v>3.02</v>
      </c>
      <c r="AV53" s="388">
        <f t="shared" ref="AV53:AV54" si="85">AU53-(AU53-AW53)*(AV$41-AU$41)/(AW$41-AU$41)</f>
        <v>4.2200000000000006</v>
      </c>
      <c r="AW53" s="388">
        <v>2.78</v>
      </c>
      <c r="AX53" s="388">
        <f t="shared" ref="AX53:AX54" si="86">AW53-(AW53-AY53)*(AX$41-AW$41)/(AY$41-AW$41)</f>
        <v>3.9199999999999995</v>
      </c>
      <c r="AY53" s="388">
        <v>2.59</v>
      </c>
      <c r="AZ53" s="388">
        <f t="shared" ref="AZ53:AZ54" si="87">AY53-(AY53-BA53)*(AZ$41-AY$41)/(BA$41-AY$41)</f>
        <v>3.7099999999999977</v>
      </c>
      <c r="BA53" s="388">
        <v>2.4300000000000002</v>
      </c>
      <c r="BB53" s="388">
        <f t="shared" ref="BB53:BB54" si="88">BA53-(BA53-BC53)*(BB$41-BA$41)/(BC$41-BA$41)</f>
        <v>3.4700000000000029</v>
      </c>
      <c r="BC53" s="388">
        <v>2.2999999999999998</v>
      </c>
      <c r="BD53" s="388">
        <f t="shared" ref="BD53:BD54" si="89">BC53-(BC53-BE53)*(BD$41-BC$41)/(BE$41-BC$41)</f>
        <v>3.3799999999999968</v>
      </c>
      <c r="BE53" s="388">
        <v>2.1800000000000002</v>
      </c>
      <c r="BF53" s="388">
        <f t="shared" ref="BF53:BF54" si="90">BE53-(BE53-BG53)*(BF$41-BE$41)/(BG$41-BE$41)</f>
        <v>3.080000000000001</v>
      </c>
      <c r="BG53" s="646">
        <v>2</v>
      </c>
      <c r="BI53" s="397" t="s">
        <v>336</v>
      </c>
      <c r="BJ53" s="371">
        <f>BJ52*BJ42*BJ43*BJ44*BJ45*BJ46*BJ47</f>
        <v>31891.562999999998</v>
      </c>
      <c r="BO53" s="387" t="s">
        <v>548</v>
      </c>
      <c r="BP53" s="380">
        <f t="shared" ref="BP53:BP54" si="91">BR53+(BT53-BV53)</f>
        <v>4.47</v>
      </c>
      <c r="BQ53" s="388">
        <f t="shared" ref="BQ53:BQ54" si="92">BP53-(BP53-BR53)*(BQ$41-BP$41)/(BR$41-BP$41)</f>
        <v>5.2299999999999995</v>
      </c>
      <c r="BR53" s="388">
        <f t="shared" ref="BR53" si="93">BT53+(BT53-BV53)</f>
        <v>4.09</v>
      </c>
      <c r="BS53" s="388">
        <f t="shared" ref="BS53:BS54" si="94">BR53-(BR53-BT53)*(BS$41-BR$41)/(BT$41-BR$41)</f>
        <v>5.2299999999999995</v>
      </c>
      <c r="BT53" s="380">
        <v>3.71</v>
      </c>
      <c r="BU53" s="388">
        <f t="shared" ref="BU53:BU54" si="95">BT53-(BT53-BV53)*(BU$41-BT$41)/(BV$41-BT$41)</f>
        <v>5.2299999999999995</v>
      </c>
      <c r="BV53" s="388">
        <v>3.33</v>
      </c>
      <c r="BW53" s="388">
        <f t="shared" ref="BW53:BW54" si="96">BV53-(BV53-BX53)*(BW$41-BV$41)/(BX$41-BV$41)</f>
        <v>4.7300000000000013</v>
      </c>
      <c r="BX53" s="388">
        <v>3.05</v>
      </c>
      <c r="BY53" s="388">
        <f t="shared" ref="BY53:BY54" si="97">BX53-(BX53-BZ53)*(BY$41-BX$41)/(BZ$41-BX$41)</f>
        <v>4.3699999999999983</v>
      </c>
      <c r="BZ53" s="388">
        <v>2.83</v>
      </c>
      <c r="CA53" s="388">
        <f t="shared" ref="CA53:CA54" si="98">BZ53-(BZ53-CB53)*(CA$41-BZ$41)/(CB$41-BZ$41)</f>
        <v>4.0900000000000016</v>
      </c>
      <c r="CB53" s="388">
        <v>2.65</v>
      </c>
      <c r="CC53" s="388">
        <f t="shared" ref="CC53:CC54" si="99">CB53-(CB53-CD53)*(CC$41-CB$41)/(CD$41-CB$41)</f>
        <v>3.8499999999999992</v>
      </c>
      <c r="CD53" s="388">
        <v>2.5</v>
      </c>
      <c r="CE53" s="388">
        <f t="shared" ref="CE53:CE54" si="100">CD53-(CD53-CF53)*(CE$41-CD$41)/(CF$41-CD$41)</f>
        <v>3.669999999999999</v>
      </c>
      <c r="CF53" s="388">
        <v>2.37</v>
      </c>
      <c r="CG53" s="388">
        <f t="shared" ref="CG53:CG54" si="101">CF53-(CF53-CH53)*(CG$41-CF$41)/(CH$41-CF$41)</f>
        <v>3.370000000000001</v>
      </c>
      <c r="CH53" s="388">
        <v>2.17</v>
      </c>
    </row>
    <row r="54" spans="1:86" ht="20.149999999999999" customHeight="1" thickBot="1" x14ac:dyDescent="0.3">
      <c r="B54" s="18"/>
      <c r="C54" s="18"/>
      <c r="D54" s="227"/>
      <c r="E54" s="18"/>
      <c r="J54" s="373">
        <v>3</v>
      </c>
      <c r="K54" s="374">
        <v>0.76</v>
      </c>
      <c r="M54" s="389" t="s">
        <v>549</v>
      </c>
      <c r="N54" s="390">
        <f t="shared" si="69"/>
        <v>4.2700000000000005</v>
      </c>
      <c r="O54" s="391">
        <f t="shared" si="70"/>
        <v>4.7500000000000009</v>
      </c>
      <c r="P54" s="391">
        <f>R54+(R54-T54)</f>
        <v>4.03</v>
      </c>
      <c r="Q54" s="391">
        <f>P54-(P54-R54)*(Q$41-P$41)/(R$41-P$41)</f>
        <v>4.7500000000000009</v>
      </c>
      <c r="R54" s="391">
        <v>3.79</v>
      </c>
      <c r="S54" s="391">
        <f>R54-(R54-T54)*(S$41-R$41)/(T$41-R$41)</f>
        <v>4.7500000000000009</v>
      </c>
      <c r="T54" s="391">
        <v>3.55</v>
      </c>
      <c r="U54" s="391">
        <f>T54-(T54-V54)*(U$41-T$41)/(V$41-T$41)</f>
        <v>4.4499999999999984</v>
      </c>
      <c r="V54" s="391">
        <v>3.37</v>
      </c>
      <c r="W54" s="391">
        <f>V54-(V54-X54)*(W$41-V$41)/(X$41-V$41)</f>
        <v>4.2699999999999996</v>
      </c>
      <c r="X54" s="391">
        <v>3.22</v>
      </c>
      <c r="Y54" s="391">
        <f>X54-(X54-Z54)*(Y$41-X$41)/(Z$41-X$41)</f>
        <v>4.1300000000000026</v>
      </c>
      <c r="Z54" s="391">
        <v>3.09</v>
      </c>
      <c r="AA54" s="391">
        <f>Z54-(Z54-AB54)*(AA$41-Z$41)/(AB$41-Z$41)</f>
        <v>3.9699999999999989</v>
      </c>
      <c r="AB54" s="391">
        <v>2.98</v>
      </c>
      <c r="AC54" s="391">
        <f>AB54-(AB54-AD54)*(AC$41-AB$41)/(AD$41-AB$41)</f>
        <v>3.8800000000000008</v>
      </c>
      <c r="AD54" s="391">
        <v>2.88</v>
      </c>
      <c r="AE54" s="391">
        <f>AD54-(AD54-AF54)*(AE$41-AD$41)/(AF$41-AD$41)</f>
        <v>3.6799999999999984</v>
      </c>
      <c r="AF54" s="647">
        <v>2.72</v>
      </c>
      <c r="AK54" s="373">
        <v>3</v>
      </c>
      <c r="AL54" s="374">
        <v>0.67</v>
      </c>
      <c r="AN54" s="389" t="s">
        <v>549</v>
      </c>
      <c r="AO54" s="390">
        <f t="shared" si="80"/>
        <v>5.6399999999999988</v>
      </c>
      <c r="AP54" s="391">
        <f t="shared" si="81"/>
        <v>6.5199999999999978</v>
      </c>
      <c r="AQ54" s="391">
        <f>AS54+(AS54-AU54)</f>
        <v>5.1999999999999993</v>
      </c>
      <c r="AR54" s="391">
        <f t="shared" si="83"/>
        <v>6.5199999999999978</v>
      </c>
      <c r="AS54" s="390">
        <v>4.76</v>
      </c>
      <c r="AT54" s="391">
        <f t="shared" si="84"/>
        <v>6.5199999999999978</v>
      </c>
      <c r="AU54" s="391">
        <v>4.32</v>
      </c>
      <c r="AV54" s="391">
        <f t="shared" si="85"/>
        <v>6.0200000000000014</v>
      </c>
      <c r="AW54" s="391">
        <v>3.98</v>
      </c>
      <c r="AX54" s="391">
        <f t="shared" si="86"/>
        <v>5.5399999999999991</v>
      </c>
      <c r="AY54" s="391">
        <v>3.72</v>
      </c>
      <c r="AZ54" s="391">
        <f t="shared" si="87"/>
        <v>5.2600000000000016</v>
      </c>
      <c r="BA54" s="391">
        <v>3.5</v>
      </c>
      <c r="BB54" s="391">
        <f t="shared" si="88"/>
        <v>5.0199999999999996</v>
      </c>
      <c r="BC54" s="391">
        <v>3.31</v>
      </c>
      <c r="BD54" s="391">
        <f t="shared" si="89"/>
        <v>4.7500000000000018</v>
      </c>
      <c r="BE54" s="391">
        <v>3.15</v>
      </c>
      <c r="BF54" s="391">
        <f t="shared" si="90"/>
        <v>4.4499999999999993</v>
      </c>
      <c r="BG54" s="647">
        <v>2.89</v>
      </c>
      <c r="BO54" s="389" t="s">
        <v>549</v>
      </c>
      <c r="BP54" s="390">
        <f t="shared" si="91"/>
        <v>6.36</v>
      </c>
      <c r="BQ54" s="391">
        <f t="shared" si="92"/>
        <v>7.4200000000000008</v>
      </c>
      <c r="BR54" s="391">
        <f>BT54+(BT54-BV54)</f>
        <v>5.83</v>
      </c>
      <c r="BS54" s="391">
        <f t="shared" si="94"/>
        <v>7.4200000000000008</v>
      </c>
      <c r="BT54" s="390">
        <v>5.3</v>
      </c>
      <c r="BU54" s="391">
        <f t="shared" si="95"/>
        <v>7.4200000000000008</v>
      </c>
      <c r="BV54" s="391">
        <v>4.7699999999999996</v>
      </c>
      <c r="BW54" s="391">
        <f t="shared" si="96"/>
        <v>6.719999999999998</v>
      </c>
      <c r="BX54" s="391">
        <v>4.38</v>
      </c>
      <c r="BY54" s="391">
        <f t="shared" si="97"/>
        <v>6.2399999999999975</v>
      </c>
      <c r="BZ54" s="391">
        <v>4.07</v>
      </c>
      <c r="CA54" s="391">
        <f t="shared" si="98"/>
        <v>5.8200000000000038</v>
      </c>
      <c r="CB54" s="391">
        <v>3.82</v>
      </c>
      <c r="CC54" s="391">
        <f t="shared" si="99"/>
        <v>5.5</v>
      </c>
      <c r="CD54" s="391">
        <v>3.61</v>
      </c>
      <c r="CE54" s="391">
        <f t="shared" si="100"/>
        <v>5.2299999999999969</v>
      </c>
      <c r="CF54" s="391">
        <v>3.43</v>
      </c>
      <c r="CG54" s="391">
        <f t="shared" si="101"/>
        <v>4.8800000000000008</v>
      </c>
      <c r="CH54" s="388">
        <v>3.14</v>
      </c>
    </row>
    <row r="55" spans="1:86" ht="20.149999999999999" customHeight="1" thickBot="1" x14ac:dyDescent="0.3">
      <c r="M55" s="660" t="s">
        <v>485</v>
      </c>
      <c r="N55" s="390">
        <f t="shared" si="69"/>
        <v>4.49</v>
      </c>
      <c r="O55" s="391">
        <f t="shared" si="70"/>
        <v>5.0299999999999994</v>
      </c>
      <c r="P55" s="391">
        <f>R55+(R55-T55)</f>
        <v>4.2200000000000006</v>
      </c>
      <c r="Q55" s="391">
        <f>P55-(P55-R55)*(Q$41-P$41)/(R$41-P$41)</f>
        <v>5.030000000000002</v>
      </c>
      <c r="R55" s="391">
        <v>3.95</v>
      </c>
      <c r="S55" s="391">
        <f>R55-(R55-T55)*(S$41-R$41)/(T$41-R$41)</f>
        <v>5.03</v>
      </c>
      <c r="T55" s="391">
        <v>3.68</v>
      </c>
      <c r="U55" s="391">
        <f>T55-(T55-V55)*(U$41-T$41)/(V$41-T$41)</f>
        <v>4.63</v>
      </c>
      <c r="V55" s="391">
        <v>3.49</v>
      </c>
      <c r="W55" s="391">
        <f>V55-(V55-X55)*(W$41-V$41)/(X$41-V$41)</f>
        <v>4.4500000000000011</v>
      </c>
      <c r="X55" s="391">
        <v>3.33</v>
      </c>
      <c r="Y55" s="391">
        <f>X55-(X55-Z55)*(Y$41-X$41)/(Z$41-X$41)</f>
        <v>4.2399999999999993</v>
      </c>
      <c r="Z55" s="391">
        <v>3.2</v>
      </c>
      <c r="AA55" s="391">
        <f>Z55-(Z55-AB55)*(AA$41-Z$41)/(AB$41-Z$41)</f>
        <v>4.2400000000000029</v>
      </c>
      <c r="AB55" s="391">
        <v>3.07</v>
      </c>
      <c r="AC55" s="391">
        <f>AB55-(AB55-AD55)*(AC$41-AB$41)/(AD$41-AB$41)</f>
        <v>3.9699999999999966</v>
      </c>
      <c r="AD55" s="391">
        <v>2.97</v>
      </c>
      <c r="AE55" s="391">
        <f>AD55-(AD55-AF55)*(AE$41-AD$41)/(AF$41-AD$41)</f>
        <v>3.8200000000000021</v>
      </c>
      <c r="AF55" s="647">
        <v>2.8</v>
      </c>
      <c r="AN55" s="660" t="s">
        <v>485</v>
      </c>
      <c r="AO55" s="390">
        <f>AQ55+(AS55-AU55)</f>
        <v>5.4999999999999982</v>
      </c>
      <c r="AP55" s="391">
        <f>AO55-(AO55-AQ55)*(AP$41-AO$41)/(AQ$41-AO$41)</f>
        <v>6.3999999999999968</v>
      </c>
      <c r="AQ55" s="391">
        <f>AS55+(AS55-AU55)</f>
        <v>5.0499999999999989</v>
      </c>
      <c r="AR55" s="391">
        <f>AQ55-(AQ55-AS55)*(AR$41-AQ$41)/(AS$41-AQ$41)</f>
        <v>6.3999999999999968</v>
      </c>
      <c r="AS55" s="390">
        <v>4.5999999999999996</v>
      </c>
      <c r="AT55" s="391">
        <f>AS55-(AS55-AU55)*(AT$41-AS$41)/(AU$41-AS$41)</f>
        <v>6.3999999999999968</v>
      </c>
      <c r="AU55" s="391">
        <v>4.1500000000000004</v>
      </c>
      <c r="AV55" s="391">
        <f>AU55-(AU55-AW55)*(AV$41-AU$41)/(AW$41-AU$41)</f>
        <v>5.8000000000000025</v>
      </c>
      <c r="AW55" s="391">
        <v>3.82</v>
      </c>
      <c r="AX55" s="391">
        <f>AW55-(AW55-AY55)*(AX$41-AW$41)/(AY$41-AW$41)</f>
        <v>5.4399999999999995</v>
      </c>
      <c r="AY55" s="391">
        <v>3.55</v>
      </c>
      <c r="AZ55" s="391">
        <f>AY55-(AY55-BA55)*(AZ$41-AY$41)/(BA$41-AY$41)</f>
        <v>5.0199999999999996</v>
      </c>
      <c r="BA55" s="391">
        <v>3.34</v>
      </c>
      <c r="BB55" s="391">
        <f>BA55-(BA55-BC55)*(BB$41-BA$41)/(BC$41-BA$41)</f>
        <v>4.7799999999999976</v>
      </c>
      <c r="BC55" s="391">
        <v>3.16</v>
      </c>
      <c r="BD55" s="391">
        <f>BC55-(BC55-BE55)*(BD$41-BC$41)/(BE$41-BC$41)</f>
        <v>4.6000000000000014</v>
      </c>
      <c r="BE55" s="391">
        <v>3</v>
      </c>
      <c r="BF55" s="391">
        <f>BE55-(BE55-BG55)*(BF$41-BE$41)/(BG$41-BE$41)</f>
        <v>4.2000000000000011</v>
      </c>
      <c r="BG55" s="647">
        <v>2.76</v>
      </c>
      <c r="BO55" s="660" t="s">
        <v>485</v>
      </c>
      <c r="BP55" s="390">
        <f>BR55+(BT55-BV55)</f>
        <v>6.1500000000000012</v>
      </c>
      <c r="BQ55" s="391">
        <f>BP55-(BP55-BR55)*(BQ$41-BP$41)/(BR$41-BP$41)</f>
        <v>7.1900000000000022</v>
      </c>
      <c r="BR55" s="391">
        <f>BT55+(BT55-BV55)</f>
        <v>5.6300000000000008</v>
      </c>
      <c r="BS55" s="391">
        <f>BR55-(BR55-BT55)*(BS$41-BR$41)/(BT$41-BR$41)</f>
        <v>7.1900000000000022</v>
      </c>
      <c r="BT55" s="390">
        <v>5.1100000000000003</v>
      </c>
      <c r="BU55" s="391">
        <f>BT55-(BT55-BV55)*(BU$41-BT$41)/(BV$41-BT$41)</f>
        <v>7.1900000000000022</v>
      </c>
      <c r="BV55" s="391">
        <v>4.59</v>
      </c>
      <c r="BW55" s="391">
        <f>BV55-(BV55-BX55)*(BW$41-BV$41)/(BX$41-BV$41)</f>
        <v>6.5899999999999972</v>
      </c>
      <c r="BX55" s="391">
        <v>4.1900000000000004</v>
      </c>
      <c r="BY55" s="391">
        <f>BX55-(BX55-BZ55)*(BY$41-BX$41)/(BZ$41-BX$41)</f>
        <v>6.0500000000000034</v>
      </c>
      <c r="BZ55" s="391">
        <v>3.88</v>
      </c>
      <c r="CA55" s="391">
        <f>BZ55-(BZ55-CB55)*(CA$41-BZ$41)/(CB$41-BZ$41)</f>
        <v>5.5599999999999987</v>
      </c>
      <c r="CB55" s="391">
        <v>3.64</v>
      </c>
      <c r="CC55" s="391">
        <f>CB55-(CB55-CD55)*(CC$41-CB$41)/(CD$41-CB$41)</f>
        <v>5.240000000000002</v>
      </c>
      <c r="CD55" s="391">
        <v>3.44</v>
      </c>
      <c r="CE55" s="391">
        <f>CD55-(CD55-CF55)*(CE$41-CD$41)/(CF$41-CD$41)</f>
        <v>4.9699999999999989</v>
      </c>
      <c r="CF55" s="391">
        <v>3.27</v>
      </c>
      <c r="CG55" s="391">
        <f>CF55-(CF55-CH55)*(CG$41-CF$41)/(CH$41-CF$41)</f>
        <v>4.669999999999999</v>
      </c>
      <c r="CH55" s="388">
        <v>2.99</v>
      </c>
    </row>
    <row r="56" spans="1:86" ht="20.149999999999999" customHeight="1" thickBot="1" x14ac:dyDescent="0.3">
      <c r="J56" s="372" t="s">
        <v>210</v>
      </c>
      <c r="K56" s="372" t="s">
        <v>394</v>
      </c>
      <c r="M56" s="659" t="s">
        <v>484</v>
      </c>
      <c r="N56" s="390">
        <f t="shared" si="69"/>
        <v>5.5400000000000018</v>
      </c>
      <c r="O56" s="391">
        <f t="shared" si="70"/>
        <v>6.1400000000000032</v>
      </c>
      <c r="P56" s="391">
        <f>R56+(R56-T56)</f>
        <v>5.2400000000000011</v>
      </c>
      <c r="Q56" s="391">
        <f>P56-(P56-R56)*(Q$41-P$41)/(R$41-P$41)</f>
        <v>6.1400000000000032</v>
      </c>
      <c r="R56" s="391">
        <v>4.9400000000000004</v>
      </c>
      <c r="S56" s="391">
        <f>R56-(R56-T56)*(S$41-R$41)/(T$41-R$41)</f>
        <v>6.1400000000000032</v>
      </c>
      <c r="T56" s="391">
        <v>4.6399999999999997</v>
      </c>
      <c r="U56" s="391">
        <f>T56-(T56-V56)*(U$41-T$41)/(V$41-T$41)</f>
        <v>5.8399999999999963</v>
      </c>
      <c r="V56" s="391">
        <v>4.4000000000000004</v>
      </c>
      <c r="W56" s="391">
        <f>V56-(V56-X56)*(W$41-V$41)/(X$41-V$41)</f>
        <v>5.6000000000000014</v>
      </c>
      <c r="X56" s="391">
        <v>4.2</v>
      </c>
      <c r="Y56" s="391">
        <f>X56-(X56-Z56)*(Y$41-X$41)/(Z$41-X$41)</f>
        <v>5.39</v>
      </c>
      <c r="Z56" s="391">
        <v>4.03</v>
      </c>
      <c r="AA56" s="391">
        <f>Z56-(Z56-AB56)*(AA$41-Z$41)/(AB$41-Z$41)</f>
        <v>5.1500000000000012</v>
      </c>
      <c r="AB56" s="391">
        <v>3.89</v>
      </c>
      <c r="AC56" s="391">
        <f>AB56-(AB56-AD56)*(AC$41-AB$41)/(AD$41-AB$41)</f>
        <v>4.9700000000000006</v>
      </c>
      <c r="AD56" s="391">
        <v>3.77</v>
      </c>
      <c r="AE56" s="391">
        <f>AD56-(AD56-AF56)*(AE$41-AD$41)/(AF$41-AD$41)</f>
        <v>4.82</v>
      </c>
      <c r="AF56" s="647">
        <v>3.56</v>
      </c>
      <c r="AH56" s="372" t="s">
        <v>224</v>
      </c>
      <c r="AI56" s="372" t="s">
        <v>395</v>
      </c>
      <c r="AN56" s="659" t="s">
        <v>484</v>
      </c>
      <c r="AO56" s="390">
        <f>AQ56+(AS56-AU56)</f>
        <v>7.339999999999999</v>
      </c>
      <c r="AP56" s="391">
        <f>AO56-(AO56-AQ56)*(AP$41-AO$41)/(AQ$41-AO$41)</f>
        <v>8.4599999999999973</v>
      </c>
      <c r="AQ56" s="391">
        <f>AS56+(AS56-AU56)</f>
        <v>6.7799999999999994</v>
      </c>
      <c r="AR56" s="391">
        <f>AQ56-(AQ56-AS56)*(AR$41-AQ$41)/(AS$41-AQ$41)</f>
        <v>8.4599999999999973</v>
      </c>
      <c r="AS56" s="390">
        <v>6.22</v>
      </c>
      <c r="AT56" s="391">
        <f>AS56-(AS56-AU56)*(AT$41-AS$41)/(AU$41-AS$41)</f>
        <v>8.4599999999999973</v>
      </c>
      <c r="AU56" s="391">
        <v>5.66</v>
      </c>
      <c r="AV56" s="391">
        <f>AU56-(AU56-AW56)*(AV$41-AU$41)/(AW$41-AU$41)</f>
        <v>7.8600000000000021</v>
      </c>
      <c r="AW56" s="391">
        <v>5.22</v>
      </c>
      <c r="AX56" s="391">
        <f>AW56-(AW56-AY56)*(AX$41-AW$41)/(AY$41-AW$41)</f>
        <v>7.3199999999999976</v>
      </c>
      <c r="AY56" s="391">
        <v>4.87</v>
      </c>
      <c r="AZ56" s="391">
        <f>AY56-(AY56-BA56)*(AZ$41-AY$41)/(BA$41-AY$41)</f>
        <v>6.8300000000000018</v>
      </c>
      <c r="BA56" s="391">
        <v>4.59</v>
      </c>
      <c r="BB56" s="391">
        <f>BA56-(BA56-BC56)*(BB$41-BA$41)/(BC$41-BA$41)</f>
        <v>6.59</v>
      </c>
      <c r="BC56" s="391">
        <v>4.34</v>
      </c>
      <c r="BD56" s="391">
        <f>BC56-(BC56-BE56)*(BD$41-BC$41)/(BE$41-BC$41)</f>
        <v>6.1400000000000015</v>
      </c>
      <c r="BE56" s="391">
        <v>4.1399999999999997</v>
      </c>
      <c r="BF56" s="391">
        <f>BE56-(BE56-BG56)*(BF$41-BE$41)/(BG$41-BE$41)</f>
        <v>5.839999999999999</v>
      </c>
      <c r="BG56" s="647">
        <v>3.8</v>
      </c>
      <c r="BO56" s="659" t="s">
        <v>484</v>
      </c>
      <c r="BP56" s="390">
        <f>BR56+(BT56-BV56)</f>
        <v>8.3000000000000007</v>
      </c>
      <c r="BQ56" s="391">
        <f>BP56-(BP56-BR56)*(BQ$41-BP$41)/(BR$41-BP$41)</f>
        <v>9.66</v>
      </c>
      <c r="BR56" s="391">
        <f>BT56+(BT56-BV56)</f>
        <v>7.620000000000001</v>
      </c>
      <c r="BS56" s="391">
        <f>BR56-(BR56-BT56)*(BS$41-BR$41)/(BT$41-BR$41)</f>
        <v>9.6600000000000037</v>
      </c>
      <c r="BT56" s="390">
        <v>6.94</v>
      </c>
      <c r="BU56" s="391">
        <f>BT56-(BT56-BV56)*(BU$41-BT$41)/(BV$41-BT$41)</f>
        <v>9.6600000000000037</v>
      </c>
      <c r="BV56" s="391">
        <v>6.26</v>
      </c>
      <c r="BW56" s="391">
        <f>BV56-(BV56-BX56)*(BW$41-BV$41)/(BX$41-BV$41)</f>
        <v>8.8099999999999987</v>
      </c>
      <c r="BX56" s="391">
        <v>5.75</v>
      </c>
      <c r="BY56" s="391">
        <f>BX56-(BX56-BZ56)*(BY$41-BX$41)/(BZ$41-BX$41)</f>
        <v>8.2100000000000009</v>
      </c>
      <c r="BZ56" s="391">
        <v>5.34</v>
      </c>
      <c r="CA56" s="391">
        <f>BZ56-(BZ56-CB56)*(CA$41-BZ$41)/(CB$41-BZ$41)</f>
        <v>7.65</v>
      </c>
      <c r="CB56" s="391">
        <v>5.01</v>
      </c>
      <c r="CC56" s="391">
        <f>CB56-(CB56-CD56)*(CC$41-CB$41)/(CD$41-CB$41)</f>
        <v>7.2499999999999947</v>
      </c>
      <c r="CD56" s="391">
        <v>4.7300000000000004</v>
      </c>
      <c r="CE56" s="391">
        <f>CD56-(CD56-CF56)*(CE$41-CD$41)/(CF$41-CD$41)</f>
        <v>6.8000000000000043</v>
      </c>
      <c r="CF56" s="391">
        <v>4.5</v>
      </c>
      <c r="CG56" s="391">
        <f>CF56-(CF56-CH56)*(CG$41-CF$41)/(CH$41-CF$41)</f>
        <v>6.3999999999999995</v>
      </c>
      <c r="CH56" s="388">
        <v>4.12</v>
      </c>
    </row>
    <row r="57" spans="1:86" ht="20.149999999999999" customHeight="1" thickBot="1" x14ac:dyDescent="0.3">
      <c r="B57" s="24"/>
      <c r="C57" s="125"/>
      <c r="D57" s="425"/>
      <c r="E57" s="24"/>
      <c r="I57" s="108"/>
      <c r="J57" s="499">
        <v>1</v>
      </c>
      <c r="K57" s="374">
        <v>1</v>
      </c>
      <c r="M57" s="659" t="s">
        <v>493</v>
      </c>
      <c r="N57" s="390">
        <f t="shared" si="69"/>
        <v>5.9099999999999984</v>
      </c>
      <c r="O57" s="391">
        <f t="shared" si="70"/>
        <v>6.5499999999999972</v>
      </c>
      <c r="P57" s="391">
        <f>R57+(R57-T57)</f>
        <v>5.589999999999999</v>
      </c>
      <c r="Q57" s="391">
        <f>P57-(P57-R57)*(Q$41-P$41)/(R$41-P$41)</f>
        <v>6.5499999999999972</v>
      </c>
      <c r="R57" s="391">
        <v>5.27</v>
      </c>
      <c r="S57" s="391">
        <f>R57-(R57-T57)*(S$41-R$41)/(T$41-R$41)</f>
        <v>6.5499999999999972</v>
      </c>
      <c r="T57" s="391">
        <v>4.95</v>
      </c>
      <c r="U57" s="391">
        <f>T57-(T57-V57)*(U$41-T$41)/(V$41-T$41)</f>
        <v>6.2499999999999991</v>
      </c>
      <c r="V57" s="391">
        <v>4.6900000000000004</v>
      </c>
      <c r="W57" s="391">
        <f>V57-(V57-X57)*(W$41-V$41)/(X$41-V$41)</f>
        <v>5.95</v>
      </c>
      <c r="X57" s="391">
        <v>4.4800000000000004</v>
      </c>
      <c r="Y57" s="391">
        <f>X57-(X57-Z57)*(Y$41-X$41)/(Z$41-X$41)</f>
        <v>5.7400000000000047</v>
      </c>
      <c r="Z57" s="391">
        <v>4.3</v>
      </c>
      <c r="AA57" s="391">
        <f>Z57-(Z57-AB57)*(AA$41-Z$41)/(AB$41-Z$41)</f>
        <v>5.4999999999999956</v>
      </c>
      <c r="AB57" s="391">
        <v>4.1500000000000004</v>
      </c>
      <c r="AC57" s="391">
        <f>AB57-(AB57-AD57)*(AC$41-AB$41)/(AD$41-AB$41)</f>
        <v>5.3200000000000074</v>
      </c>
      <c r="AD57" s="391">
        <v>4.0199999999999996</v>
      </c>
      <c r="AE57" s="391">
        <f>AD57-(AD57-AF57)*(AE$41-AD$41)/(AF$41-AD$41)</f>
        <v>5.1699999999999973</v>
      </c>
      <c r="AF57" s="647">
        <v>3.79</v>
      </c>
      <c r="AH57" s="499">
        <v>1</v>
      </c>
      <c r="AI57" s="374">
        <v>1</v>
      </c>
      <c r="AN57" s="659" t="s">
        <v>493</v>
      </c>
      <c r="AO57" s="390">
        <f>AQ57+(AS57-AU57)</f>
        <v>8.0899999999999981</v>
      </c>
      <c r="AP57" s="391">
        <f>AO57-(AO57-AQ57)*(AP$41-AO$41)/(AQ$41-AO$41)</f>
        <v>9.3299999999999965</v>
      </c>
      <c r="AQ57" s="391">
        <f>AS57+(AS57-AU57)</f>
        <v>7.4699999999999989</v>
      </c>
      <c r="AR57" s="391">
        <f>AQ57-(AQ57-AS57)*(AR$41-AQ$41)/(AS$41-AQ$41)</f>
        <v>9.3299999999999965</v>
      </c>
      <c r="AS57" s="390">
        <v>6.85</v>
      </c>
      <c r="AT57" s="391">
        <f>AS57-(AS57-AU57)*(AT$41-AS$41)/(AU$41-AS$41)</f>
        <v>9.3299999999999965</v>
      </c>
      <c r="AU57" s="391">
        <v>6.23</v>
      </c>
      <c r="AV57" s="391">
        <f>AU57-(AU57-AW57)*(AV$41-AU$41)/(AW$41-AU$41)</f>
        <v>8.6300000000000026</v>
      </c>
      <c r="AW57" s="391">
        <v>5.75</v>
      </c>
      <c r="AX57" s="391">
        <f>AW57-(AW57-AY57)*(AX$41-AW$41)/(AY$41-AW$41)</f>
        <v>8.0299999999999994</v>
      </c>
      <c r="AY57" s="391">
        <v>5.37</v>
      </c>
      <c r="AZ57" s="391">
        <f>AY57-(AY57-BA57)*(AZ$41-AY$41)/(BA$41-AY$41)</f>
        <v>7.6100000000000021</v>
      </c>
      <c r="BA57" s="391">
        <v>5.05</v>
      </c>
      <c r="BB57" s="391">
        <f>BA57-(BA57-BC57)*(BB$41-BA$41)/(BC$41-BA$41)</f>
        <v>7.2099999999999964</v>
      </c>
      <c r="BC57" s="391">
        <v>4.78</v>
      </c>
      <c r="BD57" s="391">
        <f>BC57-(BC57-BE57)*(BD$41-BC$41)/(BE$41-BC$41)</f>
        <v>6.760000000000006</v>
      </c>
      <c r="BE57" s="391">
        <v>4.5599999999999996</v>
      </c>
      <c r="BF57" s="391">
        <f>BE57-(BE57-BG57)*(BF$41-BE$41)/(BG$41-BE$41)</f>
        <v>6.4099999999999957</v>
      </c>
      <c r="BG57" s="647">
        <v>4.1900000000000004</v>
      </c>
      <c r="BO57" s="659" t="s">
        <v>493</v>
      </c>
      <c r="BP57" s="390">
        <f>BR57+(BT57-BV57)</f>
        <v>9.1599999999999984</v>
      </c>
      <c r="BQ57" s="391">
        <f>BP57-(BP57-BR57)*(BQ$41-BP$41)/(BR$41-BP$41)</f>
        <v>10.679999999999998</v>
      </c>
      <c r="BR57" s="391">
        <f>BT57+(BT57-BV57)</f>
        <v>8.3999999999999986</v>
      </c>
      <c r="BS57" s="391">
        <f>BR57-(BR57-BT57)*(BS$41-BR$41)/(BT$41-BR$41)</f>
        <v>10.679999999999996</v>
      </c>
      <c r="BT57" s="390">
        <v>7.64</v>
      </c>
      <c r="BU57" s="391">
        <f>BT57-(BT57-BV57)*(BU$41-BT$41)/(BV$41-BT$41)</f>
        <v>10.68</v>
      </c>
      <c r="BV57" s="391">
        <v>6.88</v>
      </c>
      <c r="BW57" s="391">
        <f>BV57-(BV57-BX57)*(BW$41-BV$41)/(BX$41-BV$41)</f>
        <v>9.629999999999999</v>
      </c>
      <c r="BX57" s="391">
        <v>6.33</v>
      </c>
      <c r="BY57" s="391">
        <f>BX57-(BX57-BZ57)*(BY$41-BX$41)/(BZ$41-BX$41)</f>
        <v>9.0300000000000011</v>
      </c>
      <c r="BZ57" s="391">
        <v>5.88</v>
      </c>
      <c r="CA57" s="391">
        <f>BZ57-(BZ57-CB57)*(CA$41-BZ$41)/(CB$41-BZ$41)</f>
        <v>8.4000000000000021</v>
      </c>
      <c r="CB57" s="391">
        <v>5.52</v>
      </c>
      <c r="CC57" s="391">
        <f>CB57-(CB57-CD57)*(CC$41-CB$41)/(CD$41-CB$41)</f>
        <v>7.9999999999999964</v>
      </c>
      <c r="CD57" s="391">
        <v>5.21</v>
      </c>
      <c r="CE57" s="391">
        <f>CD57-(CD57-CF57)*(CE$41-CD$41)/(CF$41-CD$41)</f>
        <v>7.46</v>
      </c>
      <c r="CF57" s="391">
        <v>4.96</v>
      </c>
      <c r="CG57" s="391">
        <f>CF57-(CF57-CH57)*(CG$41-CF$41)/(CH$41-CF$41)</f>
        <v>7.06</v>
      </c>
      <c r="CH57" s="388">
        <v>4.54</v>
      </c>
    </row>
    <row r="58" spans="1:86" ht="20.149999999999999" customHeight="1" x14ac:dyDescent="0.25">
      <c r="B58" s="127"/>
      <c r="C58" s="24"/>
      <c r="D58" s="310"/>
      <c r="E58" s="24"/>
      <c r="I58" s="109"/>
      <c r="J58" s="499">
        <v>10</v>
      </c>
      <c r="K58" s="374">
        <v>1</v>
      </c>
      <c r="M58" s="635" t="s">
        <v>29</v>
      </c>
      <c r="N58" s="635" t="s">
        <v>35</v>
      </c>
      <c r="O58" s="636" t="s">
        <v>82</v>
      </c>
      <c r="P58" s="12"/>
      <c r="Q58" s="12"/>
      <c r="R58" s="12"/>
      <c r="S58" s="12"/>
      <c r="T58" s="12"/>
      <c r="AH58" s="499">
        <v>10</v>
      </c>
      <c r="AI58" s="374">
        <v>1</v>
      </c>
      <c r="AN58" s="635" t="s">
        <v>29</v>
      </c>
      <c r="AO58" s="635" t="s">
        <v>35</v>
      </c>
      <c r="AP58" s="636" t="s">
        <v>82</v>
      </c>
      <c r="BO58" s="370" t="s">
        <v>29</v>
      </c>
      <c r="BP58" s="370" t="s">
        <v>35</v>
      </c>
      <c r="BQ58" s="392" t="s">
        <v>82</v>
      </c>
    </row>
    <row r="59" spans="1:86" ht="20.149999999999999" customHeight="1" x14ac:dyDescent="0.25">
      <c r="B59" s="24"/>
      <c r="C59" s="24"/>
      <c r="D59" s="310"/>
      <c r="E59" s="24"/>
      <c r="I59" s="109"/>
      <c r="J59" s="499" t="str">
        <f>IF(AND($D$9&gt;J58,$D$9&lt;J60),$D$9,"nicht interpolieren")</f>
        <v>nicht interpolieren</v>
      </c>
      <c r="K59" s="374" t="e">
        <f>K58-(K58-K60)*(J59-J58)/(J60-J58)</f>
        <v>#VALUE!</v>
      </c>
      <c r="M59" s="370">
        <f>IF($D$26="","",MATCH($D$26,M42:M57))</f>
        <v>9</v>
      </c>
      <c r="N59" s="370">
        <f>IF($D$10="","",MATCH('Ermittlung Schneelast'!$D$19,N41:AF41,0))</f>
        <v>11</v>
      </c>
      <c r="O59" s="393">
        <f>IF(OR($D$26="",$D$25=""),0,INDEX(N42:AF57,M59,N59))</f>
        <v>3.25</v>
      </c>
      <c r="P59" s="12"/>
      <c r="Q59" s="12"/>
      <c r="R59" s="12"/>
      <c r="S59" s="12"/>
      <c r="T59" s="12"/>
      <c r="AH59" s="499" t="str">
        <f>IF(AND($D$9&gt;AH58,$D$9&lt;AH60),$D$9,"nicht interpolieren")</f>
        <v>nicht interpolieren</v>
      </c>
      <c r="AI59" s="374" t="e">
        <f>AI58-(AI58-AI60)*(AH59-AH58)/(AH60-AH58)</f>
        <v>#VALUE!</v>
      </c>
      <c r="AN59" s="370">
        <f>IF($D$26="","",MATCH($D$26,AN42:AN57))</f>
        <v>9</v>
      </c>
      <c r="AO59" s="370">
        <f>IF($D$10="","",MATCH('Ermittlung Schneelast'!$D$19,AO41:BG41,0))</f>
        <v>11</v>
      </c>
      <c r="AP59" s="393">
        <f>IF(OR($D$26="",$D$25=""),0,INDEX(AO42:BG57,AN59,AO59))</f>
        <v>3.38</v>
      </c>
      <c r="BO59" s="370">
        <f>IF($D$26="","",MATCH($D$26,BO42:BO57))</f>
        <v>9</v>
      </c>
      <c r="BP59" s="370">
        <f>IF($D$10="","",MATCH('Ermittlung Schneelast'!$D$19,BP41:CH41,0))</f>
        <v>11</v>
      </c>
      <c r="BQ59" s="393">
        <f>IF(OR($D$26="",$D$25=""),0,INDEX(BP42:CH57,BO59,BP59))</f>
        <v>3.69</v>
      </c>
    </row>
    <row r="60" spans="1:86" ht="20.149999999999999" customHeight="1" x14ac:dyDescent="0.25">
      <c r="B60" s="24"/>
      <c r="C60" s="24"/>
      <c r="D60" s="310"/>
      <c r="E60" s="24"/>
      <c r="I60" s="109"/>
      <c r="J60" s="499">
        <v>20</v>
      </c>
      <c r="K60" s="500">
        <v>0.97</v>
      </c>
      <c r="AD60" s="18"/>
      <c r="AE60" s="18"/>
      <c r="AF60" s="18"/>
      <c r="AH60" s="499">
        <v>20</v>
      </c>
      <c r="AI60" s="500">
        <v>0.95</v>
      </c>
    </row>
    <row r="61" spans="1:86" ht="20.149999999999999" customHeight="1" x14ac:dyDescent="0.25">
      <c r="A61" s="10"/>
      <c r="B61" s="24"/>
      <c r="C61" s="125"/>
      <c r="D61" s="424"/>
      <c r="E61" s="24"/>
      <c r="I61" s="24"/>
      <c r="J61" s="499" t="str">
        <f>IF(AND($D$9&gt;J60,$D$9&lt;J62),$D$9,"nicht interpolieren")</f>
        <v>nicht interpolieren</v>
      </c>
      <c r="K61" s="374" t="e">
        <f>K60-(K60-K62)*(J61-J60)/(J62-J60)</f>
        <v>#VALUE!</v>
      </c>
      <c r="AH61" s="499" t="str">
        <f>IF(AND($D$9&gt;AH60,$D$9&lt;AH62),$D$9,"nicht interpolieren")</f>
        <v>nicht interpolieren</v>
      </c>
      <c r="AI61" s="374" t="e">
        <f>AI60-(AI60-AI62)*(AH61-AH60)/(AH62-AH60)</f>
        <v>#VALUE!</v>
      </c>
    </row>
    <row r="62" spans="1:86" ht="20.149999999999999" customHeight="1" x14ac:dyDescent="0.25">
      <c r="A62" s="10"/>
      <c r="I62" s="18"/>
      <c r="J62" s="499">
        <v>30</v>
      </c>
      <c r="K62" s="374">
        <v>0.94</v>
      </c>
      <c r="AH62" s="499">
        <v>30</v>
      </c>
      <c r="AI62" s="374">
        <v>0.91</v>
      </c>
    </row>
    <row r="63" spans="1:86" ht="20.149999999999999" customHeight="1" thickBot="1" x14ac:dyDescent="0.3">
      <c r="B63" s="24"/>
      <c r="C63" s="125"/>
      <c r="D63" s="469"/>
      <c r="E63" s="24"/>
    </row>
    <row r="64" spans="1:86" ht="20.149999999999999" customHeight="1" thickBot="1" x14ac:dyDescent="0.3">
      <c r="B64" s="24"/>
      <c r="C64" s="125"/>
      <c r="D64" s="469"/>
      <c r="E64" s="24"/>
      <c r="BO64" s="399" t="s">
        <v>66</v>
      </c>
      <c r="BP64" s="400">
        <v>0.5</v>
      </c>
      <c r="BQ64" s="400">
        <f>IF(AND($D$36&gt;0.5,$D$36&lt;0.6),$D$36,0)</f>
        <v>0</v>
      </c>
      <c r="BR64" s="400">
        <v>0.6</v>
      </c>
      <c r="BS64" s="400">
        <f>IF(AND($D$36&gt;0.6,$D$36&lt;0.7),$D$36,0)</f>
        <v>0</v>
      </c>
      <c r="BT64" s="400">
        <v>0.7</v>
      </c>
      <c r="BU64" s="400">
        <f>IF(AND($D$36&gt;0.7,$D$36&lt;0.8),$D$36,0)</f>
        <v>0</v>
      </c>
      <c r="BV64" s="400">
        <v>0.8</v>
      </c>
      <c r="BW64" s="400">
        <f>IF(AND($D$36&gt;0.8,$D$36&lt;0.9),$D$36,0)</f>
        <v>0</v>
      </c>
      <c r="BX64" s="400">
        <v>0.9</v>
      </c>
      <c r="BY64" s="400">
        <f>IF(AND($D$36&gt;0.9,$D$36&lt;1),$D$36,0)</f>
        <v>0</v>
      </c>
      <c r="BZ64" s="400">
        <v>1</v>
      </c>
      <c r="CA64" s="400">
        <f>IF(AND($D$36&gt;1,$D$36&lt;1.1),$D$36,0)</f>
        <v>0</v>
      </c>
      <c r="CB64" s="401">
        <v>1.1000000000000001</v>
      </c>
    </row>
    <row r="65" spans="1:80" ht="20.149999999999999" customHeight="1" thickBot="1" x14ac:dyDescent="0.3">
      <c r="B65" s="24"/>
      <c r="C65" s="125"/>
      <c r="D65" s="470"/>
      <c r="E65" s="24"/>
      <c r="G65" s="769" t="s">
        <v>338</v>
      </c>
      <c r="H65" s="760"/>
      <c r="J65" s="506" t="s">
        <v>247</v>
      </c>
      <c r="K65" s="506" t="s">
        <v>396</v>
      </c>
      <c r="M65" s="399" t="s">
        <v>66</v>
      </c>
      <c r="N65" s="400">
        <v>0.5</v>
      </c>
      <c r="O65" s="400">
        <f>IF(AND($D$36&gt;0.5,$D$36&lt;0.6),$D$36,0)</f>
        <v>0</v>
      </c>
      <c r="P65" s="400">
        <v>0.6</v>
      </c>
      <c r="Q65" s="400">
        <f>IF(AND($D$36&gt;0.6,$D$36&lt;0.7),$D$36,0)</f>
        <v>0</v>
      </c>
      <c r="R65" s="400">
        <v>0.7</v>
      </c>
      <c r="S65" s="400">
        <f>IF(AND($D$36&gt;0.7,$D$36&lt;0.8),$D$36,0)</f>
        <v>0</v>
      </c>
      <c r="T65" s="400">
        <v>0.8</v>
      </c>
      <c r="U65" s="400">
        <f>IF(AND($D$36&gt;0.8,$D$36&lt;0.9),$D$36,0)</f>
        <v>0</v>
      </c>
      <c r="V65" s="400">
        <v>0.9</v>
      </c>
      <c r="W65" s="400">
        <f>IF(AND($D$36&gt;0.9,$D$36&lt;1),$D$36,0)</f>
        <v>0</v>
      </c>
      <c r="X65" s="400">
        <v>1</v>
      </c>
      <c r="Y65" s="400">
        <f>IF(AND($D$36&gt;1,$D$36&lt;1.1),$D$36,0)</f>
        <v>0</v>
      </c>
      <c r="Z65" s="401">
        <v>1.1000000000000001</v>
      </c>
      <c r="AA65" s="10"/>
      <c r="AH65" s="759" t="s">
        <v>348</v>
      </c>
      <c r="AI65" s="760"/>
      <c r="AN65" s="399" t="s">
        <v>66</v>
      </c>
      <c r="AO65" s="400">
        <v>0.5</v>
      </c>
      <c r="AP65" s="400">
        <f>IF(AND($D$36&gt;0.5,$D$36&lt;0.6),$D$36,0)</f>
        <v>0</v>
      </c>
      <c r="AQ65" s="400">
        <v>0.6</v>
      </c>
      <c r="AR65" s="400">
        <f>IF(AND($D$36&gt;0.6,$D$36&lt;0.7),$D$36,0)</f>
        <v>0</v>
      </c>
      <c r="AS65" s="400">
        <v>0.7</v>
      </c>
      <c r="AT65" s="400">
        <f>IF(AND($D$36&gt;0.7,$D$36&lt;0.8),$D$36,0)</f>
        <v>0</v>
      </c>
      <c r="AU65" s="400">
        <v>0.8</v>
      </c>
      <c r="AV65" s="400">
        <f>IF(AND($D$36&gt;0.8,$D$36&lt;0.9),$D$36,0)</f>
        <v>0</v>
      </c>
      <c r="AW65" s="400">
        <v>0.9</v>
      </c>
      <c r="AX65" s="400">
        <f>IF(AND($D$36&gt;0.9,$D$36&lt;1),$D$36,0)</f>
        <v>0</v>
      </c>
      <c r="AY65" s="400">
        <v>1</v>
      </c>
      <c r="AZ65" s="400">
        <f>IF(AND($D$36&gt;1,$D$36&lt;1.1),$D$36,0)</f>
        <v>0</v>
      </c>
      <c r="BA65" s="401">
        <v>1.1000000000000001</v>
      </c>
      <c r="BI65" s="759" t="s">
        <v>356</v>
      </c>
      <c r="BJ65" s="760"/>
      <c r="BO65" s="402" t="s">
        <v>513</v>
      </c>
      <c r="BP65" s="407">
        <v>8.41</v>
      </c>
      <c r="BQ65" s="408">
        <f>BP65-(BP65-BR65)*(BQ$64-BP$64)/(BR$64-BP$64)</f>
        <v>11.110000000000001</v>
      </c>
      <c r="BR65" s="408">
        <v>7.87</v>
      </c>
      <c r="BS65" s="408">
        <f>BR65-(BR65-BT65)*(BS$64-BR$64)/(BT$64-BR$64)</f>
        <v>10.570000000000002</v>
      </c>
      <c r="BT65" s="408">
        <v>7.42</v>
      </c>
      <c r="BU65" s="408">
        <f>BT65-(BT65-BV65)*(BU$64-BT$64)/(BV$64-BT$64)</f>
        <v>10.149999999999995</v>
      </c>
      <c r="BV65" s="408">
        <v>7.03</v>
      </c>
      <c r="BW65" s="408">
        <f>BV65-(BV65-BX65)*(BW$64-BV$64)/(BX$64-BV$64)</f>
        <v>9.6700000000000017</v>
      </c>
      <c r="BX65" s="408">
        <v>6.7</v>
      </c>
      <c r="BY65" s="408">
        <f>BX65-(BX65-BZ65)*(BY$64-BX$64)/(BZ$64-BX$64)</f>
        <v>9.3100000000000023</v>
      </c>
      <c r="BZ65" s="408">
        <v>6.41</v>
      </c>
      <c r="CA65" s="408">
        <f>BZ65-(BZ65-CB65)*(CA$64-BZ$64)/(CB$64-BZ$64)</f>
        <v>9.110000000000003</v>
      </c>
      <c r="CB65" s="409">
        <v>6.14</v>
      </c>
    </row>
    <row r="66" spans="1:80" ht="20.149999999999999" customHeight="1" x14ac:dyDescent="0.25">
      <c r="B66" s="24"/>
      <c r="C66" s="125"/>
      <c r="D66" s="471"/>
      <c r="E66" s="24"/>
      <c r="G66" s="415" t="s">
        <v>244</v>
      </c>
      <c r="H66" s="510">
        <f>H2</f>
        <v>1</v>
      </c>
      <c r="J66" s="507">
        <v>1</v>
      </c>
      <c r="K66" s="508">
        <v>1</v>
      </c>
      <c r="M66" s="402" t="s">
        <v>513</v>
      </c>
      <c r="N66" s="407">
        <v>4.92</v>
      </c>
      <c r="O66" s="408">
        <f>N66-(N66-P66)*(O$65-N$65)/(P$65-N$65)</f>
        <v>6.0699999999999976</v>
      </c>
      <c r="P66" s="408">
        <v>4.6900000000000004</v>
      </c>
      <c r="Q66" s="408">
        <f>P66-(P66-R66)*(Q$65-P$65)/(R$65-P$65)</f>
        <v>5.8300000000000027</v>
      </c>
      <c r="R66" s="408">
        <v>4.5</v>
      </c>
      <c r="S66" s="408">
        <f>R66-(R66-T66)*(S$65-R$65)/(T$65-R$65)</f>
        <v>5.6899999999999986</v>
      </c>
      <c r="T66" s="408">
        <v>4.33</v>
      </c>
      <c r="U66" s="408">
        <f>T66-(T66-V66)*(U$65-T$65)/(V$65-T$65)</f>
        <v>5.6100000000000012</v>
      </c>
      <c r="V66" s="408">
        <v>4.17</v>
      </c>
      <c r="W66" s="408">
        <f>V66-(V66-X66)*(W$65-V$65)/(X$65-V$65)</f>
        <v>5.4299999999999979</v>
      </c>
      <c r="X66" s="408">
        <v>4.03</v>
      </c>
      <c r="Y66" s="408">
        <f>X66-(X66-Z66)*(Y$65-X$65)/(Z$65-X$65)</f>
        <v>5.3300000000000027</v>
      </c>
      <c r="Z66" s="409">
        <v>3.9</v>
      </c>
      <c r="AA66" s="10"/>
      <c r="AH66" s="415" t="s">
        <v>349</v>
      </c>
      <c r="AI66" s="510">
        <f>AI2</f>
        <v>1</v>
      </c>
      <c r="AN66" s="402" t="s">
        <v>513</v>
      </c>
      <c r="AO66" s="407">
        <v>7.63</v>
      </c>
      <c r="AP66" s="408">
        <f>AO66-(AO66-AQ66)*(AP$65-AO$65)/(AQ$65-AO$65)</f>
        <v>10.080000000000002</v>
      </c>
      <c r="AQ66" s="408">
        <v>7.14</v>
      </c>
      <c r="AR66" s="408">
        <f>AQ66-(AQ66-AS66)*(AR$65-AQ$65)/(AS$65-AQ$65)</f>
        <v>9.5999999999999961</v>
      </c>
      <c r="AS66" s="408">
        <v>6.73</v>
      </c>
      <c r="AT66" s="408">
        <f>AS66-(AS66-AU66)*(AT$65-AS$65)/(AU$65-AS$65)</f>
        <v>9.1800000000000015</v>
      </c>
      <c r="AU66" s="408">
        <v>6.38</v>
      </c>
      <c r="AV66" s="408">
        <f>AU66-(AU66-AW66)*(AV$65-AU$65)/(AW$65-AU$65)</f>
        <v>8.8599999999999977</v>
      </c>
      <c r="AW66" s="408">
        <v>6.07</v>
      </c>
      <c r="AX66" s="408">
        <f>AW66-(AW66-AY66)*(AX$65-AW$65)/(AY$65-AW$65)</f>
        <v>8.5000000000000053</v>
      </c>
      <c r="AY66" s="408">
        <v>5.8</v>
      </c>
      <c r="AZ66" s="408">
        <f>AY66-(AY66-BA66)*(AZ$65-AY$65)/(BA$65-AY$65)</f>
        <v>8.0999999999999925</v>
      </c>
      <c r="BA66" s="409">
        <v>5.57</v>
      </c>
      <c r="BI66" s="415" t="s">
        <v>357</v>
      </c>
      <c r="BJ66" s="510">
        <f>BJ2</f>
        <v>1</v>
      </c>
      <c r="BO66" s="402" t="s">
        <v>514</v>
      </c>
      <c r="BP66" s="407">
        <v>8.6300000000000008</v>
      </c>
      <c r="BQ66" s="408">
        <f>BP66-(BP66-BR66)*(BQ$64-BP$64)/(BR$64-BP$64)</f>
        <v>11.380000000000004</v>
      </c>
      <c r="BR66" s="408">
        <v>8.08</v>
      </c>
      <c r="BS66" s="408">
        <f>BR66-(BR66-BT66)*(BS$64-BR$64)/(BT$64-BR$64)</f>
        <v>10.84</v>
      </c>
      <c r="BT66" s="408">
        <v>7.62</v>
      </c>
      <c r="BU66" s="408">
        <f>BT66-(BT66-BV66)*(BU$64-BT$64)/(BV$64-BT$64)</f>
        <v>10.349999999999994</v>
      </c>
      <c r="BV66" s="408">
        <v>7.23</v>
      </c>
      <c r="BW66" s="408">
        <f>BV66-(BV66-BX66)*(BW$64-BV$64)/(BX$64-BV$64)</f>
        <v>9.9500000000000064</v>
      </c>
      <c r="BX66" s="408">
        <v>6.89</v>
      </c>
      <c r="BY66" s="408">
        <f>BX66-(BX66-BZ66)*(BY$64-BX$64)/(BZ$64-BX$64)</f>
        <v>9.59</v>
      </c>
      <c r="BZ66" s="408">
        <v>6.59</v>
      </c>
      <c r="CA66" s="408">
        <f>BZ66-(BZ66-CB66)*(CA$64-BZ$64)/(CB$64-BZ$64)</f>
        <v>9.2899999999999938</v>
      </c>
      <c r="CB66" s="409">
        <v>6.32</v>
      </c>
    </row>
    <row r="67" spans="1:80" ht="20.149999999999999" customHeight="1" thickBot="1" x14ac:dyDescent="0.3">
      <c r="B67" s="24"/>
      <c r="C67" s="24"/>
      <c r="D67" s="310"/>
      <c r="E67" s="24"/>
      <c r="G67" s="416" t="s">
        <v>339</v>
      </c>
      <c r="H67" s="511">
        <f>H3</f>
        <v>0.98199999999999998</v>
      </c>
      <c r="J67" s="507">
        <v>10</v>
      </c>
      <c r="K67" s="508">
        <v>1</v>
      </c>
      <c r="M67" s="402" t="s">
        <v>514</v>
      </c>
      <c r="N67" s="407">
        <v>5.15</v>
      </c>
      <c r="O67" s="408">
        <f>N67-(N67-P67)*(O$65-N$65)/(P$65-N$65)</f>
        <v>6.2500000000000036</v>
      </c>
      <c r="P67" s="408">
        <v>4.93</v>
      </c>
      <c r="Q67" s="408">
        <f>P67-(P67-R67)*(Q$65-P$65)/(R$65-P$65)</f>
        <v>6.1299999999999955</v>
      </c>
      <c r="R67" s="408">
        <v>4.7300000000000004</v>
      </c>
      <c r="S67" s="408">
        <f>R67-(R67-T67)*(S$65-R$65)/(T$65-R$65)</f>
        <v>5.9200000000000053</v>
      </c>
      <c r="T67" s="408">
        <v>4.5599999999999996</v>
      </c>
      <c r="U67" s="408">
        <f>T67-(T67-V67)*(U$65-T$65)/(V$65-T$65)</f>
        <v>5.7599999999999953</v>
      </c>
      <c r="V67" s="408">
        <v>4.41</v>
      </c>
      <c r="W67" s="408">
        <f>V67-(V67-X67)*(W$65-V$65)/(X$65-V$65)</f>
        <v>5.7600000000000033</v>
      </c>
      <c r="X67" s="408">
        <v>4.26</v>
      </c>
      <c r="Y67" s="408">
        <f>X67-(X67-Z67)*(Y$65-X$65)/(Z$65-X$65)</f>
        <v>5.5599999999999978</v>
      </c>
      <c r="Z67" s="409">
        <v>4.13</v>
      </c>
      <c r="AA67" s="10"/>
      <c r="AD67" s="107"/>
      <c r="AE67" s="107"/>
      <c r="AF67" s="107"/>
      <c r="AH67" s="416" t="s">
        <v>350</v>
      </c>
      <c r="AI67" s="511">
        <f>AI3</f>
        <v>0.97199999999999998</v>
      </c>
      <c r="AN67" s="402" t="s">
        <v>514</v>
      </c>
      <c r="AO67" s="407">
        <v>7.83</v>
      </c>
      <c r="AP67" s="408">
        <f>AO67-(AO67-AQ67)*(AP$65-AO$65)/(AQ$65-AO$65)</f>
        <v>10.33</v>
      </c>
      <c r="AQ67" s="408">
        <v>7.33</v>
      </c>
      <c r="AR67" s="408">
        <f>AQ67-(AQ67-AS67)*(AR$65-AQ$65)/(AS$65-AQ$65)</f>
        <v>9.85</v>
      </c>
      <c r="AS67" s="408">
        <v>6.91</v>
      </c>
      <c r="AT67" s="408">
        <f>AS67-(AS67-AU67)*(AT$65-AS$65)/(AU$65-AS$65)</f>
        <v>9.43</v>
      </c>
      <c r="AU67" s="408">
        <v>6.55</v>
      </c>
      <c r="AV67" s="408">
        <f>AU67-(AU67-AW67)*(AV$65-AU$65)/(AW$65-AU$65)</f>
        <v>9.0299999999999976</v>
      </c>
      <c r="AW67" s="408">
        <v>6.24</v>
      </c>
      <c r="AX67" s="408">
        <f>AW67-(AW67-AY67)*(AX$65-AW$65)/(AY$65-AW$65)</f>
        <v>8.6700000000000053</v>
      </c>
      <c r="AY67" s="408">
        <v>5.97</v>
      </c>
      <c r="AZ67" s="408">
        <f>AY67-(AY67-BA67)*(AZ$65-AY$65)/(BA$65-AY$65)</f>
        <v>8.3699999999999903</v>
      </c>
      <c r="BA67" s="409">
        <v>5.73</v>
      </c>
      <c r="BI67" s="416" t="s">
        <v>358</v>
      </c>
      <c r="BJ67" s="511">
        <f>BJ3</f>
        <v>10000</v>
      </c>
      <c r="BO67" s="406" t="s">
        <v>515</v>
      </c>
      <c r="BP67" s="407">
        <v>10.33</v>
      </c>
      <c r="BQ67" s="408">
        <f>BP67-(BP67-BR67)*(BQ$64-BP$64)/(BR$64-BP$64)</f>
        <v>13.329999999999998</v>
      </c>
      <c r="BR67" s="408">
        <v>9.73</v>
      </c>
      <c r="BS67" s="408">
        <f>BR67-(BR67-BT67)*(BS$64-BR$64)/(BT$64-BR$64)</f>
        <v>12.73</v>
      </c>
      <c r="BT67" s="408">
        <v>9.23</v>
      </c>
      <c r="BU67" s="408">
        <f>BT67-(BT67-BV67)*(BU$64-BT$64)/(BV$64-BT$64)</f>
        <v>12.239999999999995</v>
      </c>
      <c r="BV67" s="408">
        <v>8.8000000000000007</v>
      </c>
      <c r="BW67" s="408">
        <f>BV67-(BV67-BX67)*(BW$64-BV$64)/(BX$64-BV$64)</f>
        <v>11.840000000000007</v>
      </c>
      <c r="BX67" s="408">
        <v>8.42</v>
      </c>
      <c r="BY67" s="408">
        <f>BX67-(BX67-BZ67)*(BY$64-BX$64)/(BZ$64-BX$64)</f>
        <v>11.48</v>
      </c>
      <c r="BZ67" s="408">
        <v>8.08</v>
      </c>
      <c r="CA67" s="408">
        <f>BZ67-(BZ67-CB67)*(CA$64-BZ$64)/(CB$64-BZ$64)</f>
        <v>11.079999999999995</v>
      </c>
      <c r="CB67" s="409">
        <v>7.78</v>
      </c>
    </row>
    <row r="68" spans="1:80" ht="20.149999999999999" customHeight="1" thickBot="1" x14ac:dyDescent="0.3">
      <c r="A68" s="24"/>
      <c r="B68" s="24"/>
      <c r="C68" s="24"/>
      <c r="D68" s="310"/>
      <c r="E68" s="24"/>
      <c r="G68" s="416" t="s">
        <v>246</v>
      </c>
      <c r="H68" s="511">
        <f>H4</f>
        <v>1</v>
      </c>
      <c r="J68" s="507" t="str">
        <f>IF(AND($D$9&gt;J67,$D$9&lt;J69),$D$9,"nicht interpolieren")</f>
        <v>nicht interpolieren</v>
      </c>
      <c r="K68" s="508" t="e">
        <f>K67-(K67-K69)*(J68-J67)/(J69-J67)</f>
        <v>#VALUE!</v>
      </c>
      <c r="M68" s="406" t="s">
        <v>515</v>
      </c>
      <c r="N68" s="407">
        <v>5.75</v>
      </c>
      <c r="O68" s="408">
        <f>N68-(N68-P68)*(O$65-N$65)/(P$65-N$65)</f>
        <v>6.8499999999999988</v>
      </c>
      <c r="P68" s="408">
        <v>5.53</v>
      </c>
      <c r="Q68" s="408">
        <f>P68-(P68-R68)*(Q$65-P$65)/(R$65-P$65)</f>
        <v>6.7300000000000013</v>
      </c>
      <c r="R68" s="408">
        <v>5.33</v>
      </c>
      <c r="S68" s="408">
        <f>R68-(R68-T68)*(S$65-R$65)/(T$65-R$65)</f>
        <v>6.5199999999999987</v>
      </c>
      <c r="T68" s="408">
        <v>5.16</v>
      </c>
      <c r="U68" s="408">
        <f>T68-(T68-V68)*(U$65-T$65)/(V$65-T$65)</f>
        <v>6.4400000000000013</v>
      </c>
      <c r="V68" s="408">
        <v>5</v>
      </c>
      <c r="W68" s="408">
        <f>V68-(V68-X68)*(W$65-V$65)/(X$65-V$65)</f>
        <v>6.259999999999998</v>
      </c>
      <c r="X68" s="408">
        <v>4.8600000000000003</v>
      </c>
      <c r="Y68" s="408">
        <f>X68-(X68-Z68)*(Y$65-X$65)/(Z$65-X$65)</f>
        <v>6.2600000000000051</v>
      </c>
      <c r="Z68" s="409">
        <v>4.72</v>
      </c>
      <c r="AA68" s="10"/>
      <c r="AD68" s="303"/>
      <c r="AE68" s="303"/>
      <c r="AF68" s="303"/>
      <c r="AH68" s="416" t="s">
        <v>351</v>
      </c>
      <c r="AI68" s="511">
        <f>AI4</f>
        <v>1</v>
      </c>
      <c r="AN68" s="406" t="s">
        <v>515</v>
      </c>
      <c r="AO68" s="407">
        <v>9.3000000000000007</v>
      </c>
      <c r="AP68" s="408">
        <f>AO68-(AO68-AQ68)*(AP$65-AO$65)/(AQ$65-AO$65)</f>
        <v>11.900000000000007</v>
      </c>
      <c r="AQ68" s="408">
        <v>8.7799999999999994</v>
      </c>
      <c r="AR68" s="408">
        <f>AQ68-(AQ68-AS68)*(AR$65-AQ$65)/(AS$65-AQ$65)</f>
        <v>11.479999999999995</v>
      </c>
      <c r="AS68" s="408">
        <v>8.33</v>
      </c>
      <c r="AT68" s="408">
        <f>AS68-(AS68-AU68)*(AT$65-AS$65)/(AU$65-AS$65)</f>
        <v>11.059999999999995</v>
      </c>
      <c r="AU68" s="408">
        <v>7.94</v>
      </c>
      <c r="AV68" s="408">
        <f>AU68-(AU68-AW68)*(AV$65-AU$65)/(AW$65-AU$65)</f>
        <v>10.660000000000007</v>
      </c>
      <c r="AW68" s="408">
        <v>7.6</v>
      </c>
      <c r="AX68" s="408">
        <f>AW68-(AW68-AY68)*(AX$65-AW$65)/(AY$65-AW$65)</f>
        <v>10.389999999999997</v>
      </c>
      <c r="AY68" s="408">
        <v>7.29</v>
      </c>
      <c r="AZ68" s="408">
        <f>AY68-(AY68-BA68)*(AZ$65-AY$65)/(BA$65-AY$65)</f>
        <v>9.990000000000002</v>
      </c>
      <c r="BA68" s="409">
        <v>7.02</v>
      </c>
      <c r="BI68" s="416" t="s">
        <v>359</v>
      </c>
      <c r="BJ68" s="511">
        <f>BJ4</f>
        <v>1</v>
      </c>
      <c r="BO68" s="402" t="s">
        <v>511</v>
      </c>
      <c r="BP68" s="403">
        <v>6.25</v>
      </c>
      <c r="BQ68" s="404">
        <f>BP68-(BP68-BR68)*(BQ$64-BP$64)/(BR$64-BP$64)</f>
        <v>8.3000000000000007</v>
      </c>
      <c r="BR68" s="404">
        <v>5.84</v>
      </c>
      <c r="BS68" s="404">
        <f>BR68-(BR68-BT68)*(BS$64-BR$64)/(BT$64-BR$64)</f>
        <v>7.879999999999999</v>
      </c>
      <c r="BT68" s="404">
        <v>5.5</v>
      </c>
      <c r="BU68" s="404">
        <f>BT68-(BT68-BV68)*(BU$64-BT$64)/(BV$64-BT$64)</f>
        <v>7.5299999999999985</v>
      </c>
      <c r="BV68" s="404">
        <v>5.21</v>
      </c>
      <c r="BW68" s="404">
        <f>BV68-(BV68-BX68)*(BW$64-BV$64)/(BX$64-BV$64)</f>
        <v>7.2100000000000009</v>
      </c>
      <c r="BX68" s="404">
        <v>4.96</v>
      </c>
      <c r="BY68" s="404">
        <f>BX68-(BX68-BZ68)*(BY$64-BX$64)/(BZ$64-BX$64)</f>
        <v>7.0299999999999958</v>
      </c>
      <c r="BZ68" s="404">
        <v>4.7300000000000004</v>
      </c>
      <c r="CA68" s="404">
        <f>BZ68-(BZ68-CB68)*(CA$64-BZ$64)/(CB$64-BZ$64)</f>
        <v>6.73</v>
      </c>
      <c r="CB68" s="405">
        <v>4.53</v>
      </c>
    </row>
    <row r="69" spans="1:80" ht="20.149999999999999" customHeight="1" x14ac:dyDescent="0.25">
      <c r="A69" s="24"/>
      <c r="B69" s="24"/>
      <c r="C69" s="24"/>
      <c r="D69" s="310"/>
      <c r="E69" s="24"/>
      <c r="G69" s="417" t="s">
        <v>247</v>
      </c>
      <c r="H69" s="511">
        <f>VLOOKUP($D$9,J66:K71,2)</f>
        <v>1</v>
      </c>
      <c r="J69" s="507">
        <v>20</v>
      </c>
      <c r="K69" s="509">
        <v>0.98</v>
      </c>
      <c r="M69" s="402" t="s">
        <v>511</v>
      </c>
      <c r="N69" s="403">
        <v>3.55</v>
      </c>
      <c r="O69" s="404">
        <f>N69-(N69-P69)*(O$65-N$65)/(P$65-N$65)</f>
        <v>4.4499999999999984</v>
      </c>
      <c r="P69" s="404">
        <v>3.37</v>
      </c>
      <c r="Q69" s="404">
        <f>P69-(P69-R69)*(Q$65-P$65)/(R$65-P$65)</f>
        <v>4.2699999999999996</v>
      </c>
      <c r="R69" s="404">
        <v>3.22</v>
      </c>
      <c r="S69" s="404">
        <f>R69-(R69-T69)*(S$65-R$65)/(T$65-R$65)</f>
        <v>4.2</v>
      </c>
      <c r="T69" s="404">
        <v>3.08</v>
      </c>
      <c r="U69" s="404">
        <f>T69-(T69-V69)*(U$65-T$65)/(V$65-T$65)</f>
        <v>4.1199999999999992</v>
      </c>
      <c r="V69" s="404">
        <v>2.95</v>
      </c>
      <c r="W69" s="404">
        <f>V69-(V69-X69)*(W$65-V$65)/(X$65-V$65)</f>
        <v>4.0300000000000011</v>
      </c>
      <c r="X69" s="404">
        <v>2.83</v>
      </c>
      <c r="Y69" s="404">
        <f>X69-(X69-Z69)*(Y$65-X$65)/(Z$65-X$65)</f>
        <v>3.9299999999999979</v>
      </c>
      <c r="Z69" s="405">
        <v>2.72</v>
      </c>
      <c r="AA69" s="10"/>
      <c r="AD69" s="109"/>
      <c r="AE69" s="109"/>
      <c r="AF69" s="109"/>
      <c r="AH69" s="417" t="s">
        <v>352</v>
      </c>
      <c r="AI69" s="511">
        <v>1</v>
      </c>
      <c r="AN69" s="402" t="s">
        <v>511</v>
      </c>
      <c r="AO69" s="403">
        <v>5.65</v>
      </c>
      <c r="AP69" s="404">
        <f>AO69-(AO69-AQ69)*(AP$65-AO$65)/(AQ$65-AO$65)</f>
        <v>7.5000000000000018</v>
      </c>
      <c r="AQ69" s="404">
        <v>5.28</v>
      </c>
      <c r="AR69" s="404">
        <f>AQ69-(AQ69-AS69)*(AR$65-AQ$65)/(AS$65-AQ$65)</f>
        <v>7.0799999999999992</v>
      </c>
      <c r="AS69" s="404">
        <v>4.9800000000000004</v>
      </c>
      <c r="AT69" s="404">
        <f>AS69-(AS69-AU69)*(AT$65-AS$65)/(AU$65-AS$65)</f>
        <v>6.8700000000000019</v>
      </c>
      <c r="AU69" s="404">
        <v>4.71</v>
      </c>
      <c r="AV69" s="404">
        <f>AU69-(AU69-AW69)*(AV$65-AU$65)/(AW$65-AU$65)</f>
        <v>6.5499999999999972</v>
      </c>
      <c r="AW69" s="404">
        <v>4.4800000000000004</v>
      </c>
      <c r="AX69" s="404">
        <f>AW69-(AW69-AY69)*(AX$65-AW$65)/(AY$65-AW$65)</f>
        <v>6.3700000000000081</v>
      </c>
      <c r="AY69" s="404">
        <v>4.2699999999999996</v>
      </c>
      <c r="AZ69" s="404">
        <f>AY69-(AY69-BA69)*(AZ$65-AY$65)/(BA$65-AY$65)</f>
        <v>6.1699999999999928</v>
      </c>
      <c r="BA69" s="405">
        <v>4.08</v>
      </c>
      <c r="BI69" s="417" t="s">
        <v>360</v>
      </c>
      <c r="BJ69" s="511">
        <v>1</v>
      </c>
      <c r="BO69" s="406" t="s">
        <v>512</v>
      </c>
      <c r="BP69" s="407">
        <v>6.52</v>
      </c>
      <c r="BQ69" s="408">
        <f>BP69-(BP69-BR69)*(BQ$64-BP$64)/(BR$64-BP$64)</f>
        <v>8.6199999999999992</v>
      </c>
      <c r="BR69" s="408">
        <v>6.1</v>
      </c>
      <c r="BS69" s="408">
        <f>BR69-(BR69-BT69)*(BS$64-BR$64)/(BT$64-BR$64)</f>
        <v>8.1999999999999975</v>
      </c>
      <c r="BT69" s="408">
        <v>5.75</v>
      </c>
      <c r="BU69" s="408">
        <f>BT69-(BT69-BV69)*(BU$64-BT$64)/(BV$64-BT$64)</f>
        <v>7.8499999999999961</v>
      </c>
      <c r="BV69" s="408">
        <v>5.45</v>
      </c>
      <c r="BW69" s="408">
        <f>BV69-(BV69-BX69)*(BW$64-BV$64)/(BX$64-BV$64)</f>
        <v>7.5299999999999994</v>
      </c>
      <c r="BX69" s="408">
        <v>5.19</v>
      </c>
      <c r="BY69" s="408">
        <f>BX69-(BX69-BZ69)*(BY$64-BX$64)/(BZ$64-BX$64)</f>
        <v>7.2600000000000051</v>
      </c>
      <c r="BZ69" s="408">
        <v>4.96</v>
      </c>
      <c r="CA69" s="408">
        <f>BZ69-(BZ69-CB69)*(CA$64-BZ$64)/(CB$64-BZ$64)</f>
        <v>7.0599999999999978</v>
      </c>
      <c r="CB69" s="409">
        <v>4.75</v>
      </c>
    </row>
    <row r="70" spans="1:80" ht="20.149999999999999" customHeight="1" thickBot="1" x14ac:dyDescent="0.3">
      <c r="A70" s="24"/>
      <c r="B70" s="24"/>
      <c r="C70" s="125"/>
      <c r="D70" s="425"/>
      <c r="E70" s="24"/>
      <c r="G70" s="418" t="s">
        <v>250</v>
      </c>
      <c r="H70" s="512">
        <f>VLOOKUP($D$37,Daten!$A$44:$B$47,2)</f>
        <v>1</v>
      </c>
      <c r="J70" s="507" t="str">
        <f>IF(AND($D$9&gt;J69,$D$9&lt;J71),$D$9,"nicht interpolieren")</f>
        <v>nicht interpolieren</v>
      </c>
      <c r="K70" s="508" t="e">
        <f>K69-(K69-K71)*(J70-J69)/(J71-J69)</f>
        <v>#VALUE!</v>
      </c>
      <c r="M70" s="406" t="s">
        <v>512</v>
      </c>
      <c r="N70" s="407">
        <v>3.75</v>
      </c>
      <c r="O70" s="408">
        <f>N70-(N70-P70)*(O$65-N$65)/(P$65-N$65)</f>
        <v>4.6500000000000012</v>
      </c>
      <c r="P70" s="408">
        <v>3.57</v>
      </c>
      <c r="Q70" s="408">
        <f>P70-(P70-R70)*(Q$65-P$65)/(R$65-P$65)</f>
        <v>4.5299999999999985</v>
      </c>
      <c r="R70" s="408">
        <v>3.41</v>
      </c>
      <c r="S70" s="408">
        <f>R70-(R70-T70)*(S$65-R$65)/(T$65-R$65)</f>
        <v>4.3900000000000006</v>
      </c>
      <c r="T70" s="408">
        <v>3.27</v>
      </c>
      <c r="U70" s="408">
        <f>T70-(T70-V70)*(U$65-T$65)/(V$65-T$65)</f>
        <v>4.3099999999999996</v>
      </c>
      <c r="V70" s="408">
        <v>3.14</v>
      </c>
      <c r="W70" s="408">
        <f>V70-(V70-X70)*(W$65-V$65)/(X$65-V$65)</f>
        <v>4.2200000000000015</v>
      </c>
      <c r="X70" s="408">
        <v>3.02</v>
      </c>
      <c r="Y70" s="408">
        <f>X70-(X70-Z70)*(Y$65-X$65)/(Z$65-X$65)</f>
        <v>4.22</v>
      </c>
      <c r="Z70" s="409">
        <v>2.9</v>
      </c>
      <c r="AA70" s="10"/>
      <c r="AD70" s="109"/>
      <c r="AE70" s="109"/>
      <c r="AF70" s="109"/>
      <c r="AH70" s="418" t="s">
        <v>353</v>
      </c>
      <c r="AI70" s="512">
        <f>VLOOKUP($D$37,Daten!$A$44:$B$47,2)</f>
        <v>1</v>
      </c>
      <c r="AN70" s="406" t="s">
        <v>512</v>
      </c>
      <c r="AO70" s="407">
        <v>5.9</v>
      </c>
      <c r="AP70" s="408">
        <f>AO70-(AO70-AQ70)*(AP$65-AO$65)/(AQ$65-AO$65)</f>
        <v>7.7500000000000018</v>
      </c>
      <c r="AQ70" s="408">
        <v>5.53</v>
      </c>
      <c r="AR70" s="408">
        <f>AQ70-(AQ70-AS70)*(AR$65-AQ$65)/(AS$65-AQ$65)</f>
        <v>7.4500000000000028</v>
      </c>
      <c r="AS70" s="408">
        <v>5.21</v>
      </c>
      <c r="AT70" s="408">
        <f>AS70-(AS70-AU70)*(AT$65-AS$65)/(AU$65-AS$65)</f>
        <v>7.0999999999999952</v>
      </c>
      <c r="AU70" s="408">
        <v>4.9400000000000004</v>
      </c>
      <c r="AV70" s="408">
        <f>AU70-(AU70-AW70)*(AV$65-AU$65)/(AW$65-AU$65)</f>
        <v>6.860000000000003</v>
      </c>
      <c r="AW70" s="408">
        <v>4.7</v>
      </c>
      <c r="AX70" s="408">
        <f>AW70-(AW70-AY70)*(AX$65-AW$65)/(AY$65-AW$65)</f>
        <v>6.59</v>
      </c>
      <c r="AY70" s="408">
        <v>4.49</v>
      </c>
      <c r="AZ70" s="408">
        <f>AY70-(AY70-BA70)*(AZ$65-AY$65)/(BA$65-AY$65)</f>
        <v>6.3900000000000023</v>
      </c>
      <c r="BA70" s="409">
        <v>4.3</v>
      </c>
      <c r="BI70" s="418" t="s">
        <v>361</v>
      </c>
      <c r="BJ70" s="512">
        <f>VLOOKUP($D$37,Daten!$A$44:$B$47,2)</f>
        <v>1</v>
      </c>
      <c r="BO70" s="402" t="s">
        <v>340</v>
      </c>
      <c r="BP70" s="407">
        <v>12.54</v>
      </c>
      <c r="BQ70" s="408">
        <f t="shared" ref="BQ70:BQ73" si="102">BP70-(BP70-BR70)*(BQ$64-BP$64)/(BR$64-BP$64)</f>
        <v>16.34</v>
      </c>
      <c r="BR70" s="408">
        <v>11.78</v>
      </c>
      <c r="BS70" s="408">
        <f t="shared" ref="BS70:BS74" si="103">BR70-(BR70-BT70)*(BS$64-BR$64)/(BT$64-BR$64)</f>
        <v>15.619999999999994</v>
      </c>
      <c r="BT70" s="408">
        <v>11.14</v>
      </c>
      <c r="BU70" s="408">
        <f t="shared" ref="BU70:BU74" si="104">BT70-(BT70-BV70)*(BU$64-BT$64)/(BV$64-BT$64)</f>
        <v>14.920000000000003</v>
      </c>
      <c r="BV70" s="408">
        <v>10.6</v>
      </c>
      <c r="BW70" s="408">
        <f t="shared" ref="BW70:BW74" si="105">BV70-(BV70-BX70)*(BW$64-BV$64)/(BX$64-BV$64)</f>
        <v>14.440000000000005</v>
      </c>
      <c r="BX70" s="408">
        <v>10.119999999999999</v>
      </c>
      <c r="BY70" s="408">
        <f t="shared" ref="BY70:BY74" si="106">BX70-(BX70-BZ70)*(BY$64-BX$64)/(BZ$64-BX$64)</f>
        <v>13.899999999999999</v>
      </c>
      <c r="BZ70" s="408">
        <v>9.6999999999999993</v>
      </c>
      <c r="CA70" s="408">
        <f t="shared" ref="CA70:CA74" si="107">BZ70-(BZ70-CB70)*(CA$64-BZ$64)/(CB$64-BZ$64)</f>
        <v>13.399999999999988</v>
      </c>
      <c r="CB70" s="409">
        <v>9.33</v>
      </c>
    </row>
    <row r="71" spans="1:80" ht="20.149999999999999" customHeight="1" x14ac:dyDescent="0.25">
      <c r="A71" s="24"/>
      <c r="B71" s="127"/>
      <c r="C71" s="24"/>
      <c r="D71" s="310"/>
      <c r="E71" s="24"/>
      <c r="G71" s="19"/>
      <c r="H71" s="18"/>
      <c r="J71" s="507">
        <v>30</v>
      </c>
      <c r="K71" s="508">
        <v>0.96</v>
      </c>
      <c r="M71" s="402" t="s">
        <v>340</v>
      </c>
      <c r="N71" s="407">
        <v>6.5</v>
      </c>
      <c r="O71" s="408">
        <f t="shared" ref="O71:O76" si="108">N71-(N71-P71)*(O$65-N$65)/(P$65-N$65)</f>
        <v>7.8499999999999979</v>
      </c>
      <c r="P71" s="408">
        <v>6.23</v>
      </c>
      <c r="Q71" s="408">
        <f t="shared" ref="Q71:Q76" si="109">P71-(P71-R71)*(Q$65-P$65)/(R$65-P$65)</f>
        <v>7.610000000000003</v>
      </c>
      <c r="R71" s="408">
        <v>6</v>
      </c>
      <c r="S71" s="408">
        <f t="shared" ref="S71:S76" si="110">R71-(R71-T71)*(S$65-R$65)/(T$65-R$65)</f>
        <v>7.4</v>
      </c>
      <c r="T71" s="408">
        <v>5.8</v>
      </c>
      <c r="U71" s="408">
        <f t="shared" ref="U71:U76" si="111">T71-(T71-V71)*(U$65-T$65)/(V$65-T$65)</f>
        <v>7.3199999999999967</v>
      </c>
      <c r="V71" s="408">
        <v>5.61</v>
      </c>
      <c r="W71" s="408">
        <f t="shared" ref="W71:W76" si="112">V71-(V71-X71)*(W$65-V$65)/(X$65-V$65)</f>
        <v>7.0500000000000016</v>
      </c>
      <c r="X71" s="408">
        <v>5.45</v>
      </c>
      <c r="Y71" s="408">
        <f t="shared" ref="Y71:Y76" si="113">X71-(X71-Z71)*(Y$65-X$65)/(Z$65-X$65)</f>
        <v>6.9500000000000028</v>
      </c>
      <c r="Z71" s="409">
        <v>5.3</v>
      </c>
      <c r="AA71" s="10"/>
      <c r="AD71" s="24"/>
      <c r="AE71" s="24"/>
      <c r="AF71" s="24"/>
      <c r="AH71" s="19"/>
      <c r="AI71" s="18"/>
      <c r="AN71" s="402" t="s">
        <v>340</v>
      </c>
      <c r="AO71" s="407">
        <v>11.34</v>
      </c>
      <c r="AP71" s="408">
        <f t="shared" ref="AP71:AP76" si="114">AO71-(AO71-AQ71)*(AP$65-AO$65)/(AQ$65-AO$65)</f>
        <v>14.79</v>
      </c>
      <c r="AQ71" s="408">
        <v>10.65</v>
      </c>
      <c r="AR71" s="408">
        <f t="shared" ref="AR71:AR76" si="115">AQ71-(AQ71-AS71)*(AR$65-AQ$65)/(AS$65-AQ$65)</f>
        <v>14.070000000000002</v>
      </c>
      <c r="AS71" s="408">
        <v>10.08</v>
      </c>
      <c r="AT71" s="408">
        <f t="shared" ref="AT71:AT76" si="116">AS71-(AS71-AU71)*(AT$65-AS$65)/(AU$65-AS$65)</f>
        <v>13.509999999999998</v>
      </c>
      <c r="AU71" s="408">
        <v>9.59</v>
      </c>
      <c r="AV71" s="408">
        <f t="shared" ref="AV71:AV76" si="117">AU71-(AU71-AW71)*(AV$65-AU$65)/(AW$65-AU$65)</f>
        <v>13.029999999999998</v>
      </c>
      <c r="AW71" s="408">
        <v>9.16</v>
      </c>
      <c r="AX71" s="408">
        <f t="shared" ref="AX71:AX76" si="118">AW71-(AW71-AY71)*(AX$65-AW$65)/(AY$65-AW$65)</f>
        <v>12.580000000000007</v>
      </c>
      <c r="AY71" s="408">
        <v>8.7799999999999994</v>
      </c>
      <c r="AZ71" s="408">
        <f t="shared" ref="AZ71:AZ76" si="119">AY71-(AY71-BA71)*(AZ$65-AY$65)/(BA$65-AY$65)</f>
        <v>12.179999999999994</v>
      </c>
      <c r="BA71" s="409">
        <v>8.44</v>
      </c>
      <c r="BI71" s="19"/>
      <c r="BJ71" s="18"/>
      <c r="BO71" s="406" t="s">
        <v>341</v>
      </c>
      <c r="BP71" s="407">
        <v>13.87</v>
      </c>
      <c r="BQ71" s="408">
        <f t="shared" si="102"/>
        <v>17.469999999999995</v>
      </c>
      <c r="BR71" s="408">
        <v>13.15</v>
      </c>
      <c r="BS71" s="408">
        <f t="shared" si="103"/>
        <v>16.930000000000007</v>
      </c>
      <c r="BT71" s="408">
        <v>12.52</v>
      </c>
      <c r="BU71" s="408">
        <f t="shared" si="104"/>
        <v>16.29999999999999</v>
      </c>
      <c r="BV71" s="408">
        <v>11.98</v>
      </c>
      <c r="BW71" s="408">
        <f t="shared" si="105"/>
        <v>15.820000000000004</v>
      </c>
      <c r="BX71" s="408">
        <v>11.5</v>
      </c>
      <c r="BY71" s="408">
        <f t="shared" si="106"/>
        <v>15.369999999999997</v>
      </c>
      <c r="BZ71" s="408">
        <v>11.07</v>
      </c>
      <c r="CA71" s="408">
        <f t="shared" si="107"/>
        <v>14.870000000000005</v>
      </c>
      <c r="CB71" s="409">
        <v>10.69</v>
      </c>
    </row>
    <row r="72" spans="1:80" ht="20.149999999999999" customHeight="1" x14ac:dyDescent="0.25">
      <c r="A72" s="24"/>
      <c r="B72" s="24"/>
      <c r="C72" s="24"/>
      <c r="D72" s="310"/>
      <c r="E72" s="24"/>
      <c r="G72" s="17"/>
      <c r="M72" s="406" t="s">
        <v>341</v>
      </c>
      <c r="N72" s="407">
        <v>7.19</v>
      </c>
      <c r="O72" s="408">
        <f t="shared" si="108"/>
        <v>8.3900000000000023</v>
      </c>
      <c r="P72" s="408">
        <v>6.95</v>
      </c>
      <c r="Q72" s="408">
        <f t="shared" si="109"/>
        <v>8.27</v>
      </c>
      <c r="R72" s="408">
        <v>6.73</v>
      </c>
      <c r="S72" s="408">
        <f t="shared" si="110"/>
        <v>8.1300000000000008</v>
      </c>
      <c r="T72" s="408">
        <v>6.53</v>
      </c>
      <c r="U72" s="408">
        <f t="shared" si="111"/>
        <v>7.970000000000006</v>
      </c>
      <c r="V72" s="408">
        <v>6.35</v>
      </c>
      <c r="W72" s="408">
        <f t="shared" si="112"/>
        <v>7.7899999999999929</v>
      </c>
      <c r="X72" s="408">
        <v>6.19</v>
      </c>
      <c r="Y72" s="408">
        <f t="shared" si="113"/>
        <v>7.7900000000000009</v>
      </c>
      <c r="Z72" s="409">
        <v>6.03</v>
      </c>
      <c r="AA72" s="10"/>
      <c r="AH72" s="19"/>
      <c r="AI72" s="18"/>
      <c r="AN72" s="406" t="s">
        <v>341</v>
      </c>
      <c r="AO72" s="407">
        <v>12.44</v>
      </c>
      <c r="AP72" s="408">
        <f t="shared" si="114"/>
        <v>15.589999999999996</v>
      </c>
      <c r="AQ72" s="408">
        <v>11.81</v>
      </c>
      <c r="AR72" s="408">
        <f t="shared" si="115"/>
        <v>15.110000000000005</v>
      </c>
      <c r="AS72" s="408">
        <v>11.26</v>
      </c>
      <c r="AT72" s="408">
        <f t="shared" si="116"/>
        <v>14.62</v>
      </c>
      <c r="AU72" s="408">
        <v>10.78</v>
      </c>
      <c r="AV72" s="408">
        <f t="shared" si="117"/>
        <v>14.219999999999999</v>
      </c>
      <c r="AW72" s="408">
        <v>10.35</v>
      </c>
      <c r="AX72" s="408">
        <f t="shared" si="118"/>
        <v>13.769999999999992</v>
      </c>
      <c r="AY72" s="408">
        <v>9.9700000000000006</v>
      </c>
      <c r="AZ72" s="408">
        <f t="shared" si="119"/>
        <v>13.269999999999998</v>
      </c>
      <c r="BA72" s="409">
        <v>9.64</v>
      </c>
      <c r="BI72" s="19"/>
      <c r="BJ72" s="18"/>
      <c r="BO72" s="406" t="s">
        <v>342</v>
      </c>
      <c r="BP72" s="407">
        <v>14.67</v>
      </c>
      <c r="BQ72" s="408">
        <f t="shared" si="102"/>
        <v>18.219999999999995</v>
      </c>
      <c r="BR72" s="408">
        <v>13.96</v>
      </c>
      <c r="BS72" s="408">
        <f t="shared" si="103"/>
        <v>17.620000000000008</v>
      </c>
      <c r="BT72" s="408">
        <v>13.35</v>
      </c>
      <c r="BU72" s="408">
        <f t="shared" si="104"/>
        <v>17.129999999999988</v>
      </c>
      <c r="BV72" s="408">
        <v>12.81</v>
      </c>
      <c r="BW72" s="408">
        <f t="shared" si="105"/>
        <v>16.650000000000006</v>
      </c>
      <c r="BX72" s="408">
        <v>12.33</v>
      </c>
      <c r="BY72" s="408">
        <f t="shared" si="106"/>
        <v>16.289999999999996</v>
      </c>
      <c r="BZ72" s="408">
        <v>11.89</v>
      </c>
      <c r="CA72" s="408">
        <f t="shared" si="107"/>
        <v>15.790000000000003</v>
      </c>
      <c r="CB72" s="412">
        <v>11.5</v>
      </c>
    </row>
    <row r="73" spans="1:80" ht="20.149999999999999" customHeight="1" x14ac:dyDescent="0.25">
      <c r="A73" s="24"/>
      <c r="B73" s="24"/>
      <c r="C73" s="24"/>
      <c r="D73" s="310"/>
      <c r="E73" s="24"/>
      <c r="G73" s="17"/>
      <c r="M73" s="406" t="s">
        <v>342</v>
      </c>
      <c r="N73" s="407">
        <v>7.43</v>
      </c>
      <c r="O73" s="408">
        <f t="shared" si="108"/>
        <v>8.5799999999999983</v>
      </c>
      <c r="P73" s="408">
        <v>7.2</v>
      </c>
      <c r="Q73" s="408">
        <f t="shared" si="109"/>
        <v>8.4600000000000009</v>
      </c>
      <c r="R73" s="408">
        <v>6.99</v>
      </c>
      <c r="S73" s="408">
        <f t="shared" si="110"/>
        <v>8.3200000000000021</v>
      </c>
      <c r="T73" s="408">
        <v>6.8</v>
      </c>
      <c r="U73" s="408">
        <f t="shared" si="111"/>
        <v>8.16</v>
      </c>
      <c r="V73" s="408">
        <v>6.63</v>
      </c>
      <c r="W73" s="408">
        <f t="shared" si="112"/>
        <v>8.0700000000000021</v>
      </c>
      <c r="X73" s="408">
        <v>6.47</v>
      </c>
      <c r="Y73" s="408">
        <f t="shared" si="113"/>
        <v>7.9699999999999935</v>
      </c>
      <c r="Z73" s="412">
        <v>6.32</v>
      </c>
      <c r="AH73" s="17"/>
      <c r="AN73" s="406" t="s">
        <v>342</v>
      </c>
      <c r="AO73" s="407">
        <v>13.11</v>
      </c>
      <c r="AP73" s="408">
        <f t="shared" si="114"/>
        <v>16.159999999999997</v>
      </c>
      <c r="AQ73" s="408">
        <v>12.5</v>
      </c>
      <c r="AR73" s="408">
        <f t="shared" si="115"/>
        <v>15.739999999999995</v>
      </c>
      <c r="AS73" s="408">
        <v>11.96</v>
      </c>
      <c r="AT73" s="408">
        <f t="shared" si="116"/>
        <v>15.32</v>
      </c>
      <c r="AU73" s="408">
        <v>11.48</v>
      </c>
      <c r="AV73" s="408">
        <f t="shared" si="117"/>
        <v>14.84</v>
      </c>
      <c r="AW73" s="408">
        <v>11.06</v>
      </c>
      <c r="AX73" s="408">
        <f t="shared" si="118"/>
        <v>14.480000000000008</v>
      </c>
      <c r="AY73" s="408">
        <v>10.68</v>
      </c>
      <c r="AZ73" s="408">
        <f t="shared" si="119"/>
        <v>14.079999999999995</v>
      </c>
      <c r="BA73" s="412">
        <v>10.34</v>
      </c>
      <c r="BI73" s="17"/>
      <c r="BO73" s="402" t="s">
        <v>343</v>
      </c>
      <c r="BP73" s="407">
        <v>10.42</v>
      </c>
      <c r="BQ73" s="408">
        <f t="shared" si="102"/>
        <v>13.720000000000002</v>
      </c>
      <c r="BR73" s="408">
        <v>9.76</v>
      </c>
      <c r="BS73" s="408">
        <f t="shared" si="103"/>
        <v>13.059999999999993</v>
      </c>
      <c r="BT73" s="408">
        <v>9.2100000000000009</v>
      </c>
      <c r="BU73" s="408">
        <f t="shared" si="104"/>
        <v>12.500000000000002</v>
      </c>
      <c r="BV73" s="408">
        <v>8.74</v>
      </c>
      <c r="BW73" s="408">
        <f t="shared" si="105"/>
        <v>12.020000000000003</v>
      </c>
      <c r="BX73" s="408">
        <v>8.33</v>
      </c>
      <c r="BY73" s="408">
        <f t="shared" si="106"/>
        <v>11.570000000000004</v>
      </c>
      <c r="BZ73" s="408">
        <v>7.97</v>
      </c>
      <c r="CA73" s="408">
        <f t="shared" si="107"/>
        <v>11.069999999999993</v>
      </c>
      <c r="CB73" s="412">
        <v>7.66</v>
      </c>
    </row>
    <row r="74" spans="1:80" ht="20.149999999999999" customHeight="1" thickBot="1" x14ac:dyDescent="0.3">
      <c r="A74" s="24"/>
      <c r="B74" s="24"/>
      <c r="C74" s="125"/>
      <c r="D74" s="424"/>
      <c r="E74" s="24"/>
      <c r="M74" s="402" t="s">
        <v>343</v>
      </c>
      <c r="N74" s="407">
        <v>6.25</v>
      </c>
      <c r="O74" s="408">
        <f t="shared" si="108"/>
        <v>7.5999999999999979</v>
      </c>
      <c r="P74" s="408">
        <v>5.98</v>
      </c>
      <c r="Q74" s="408">
        <f t="shared" si="109"/>
        <v>7.48</v>
      </c>
      <c r="R74" s="408">
        <v>5.73</v>
      </c>
      <c r="S74" s="408">
        <f t="shared" si="110"/>
        <v>7.2000000000000046</v>
      </c>
      <c r="T74" s="408">
        <v>5.52</v>
      </c>
      <c r="U74" s="408">
        <f t="shared" si="111"/>
        <v>7.1199999999999939</v>
      </c>
      <c r="V74" s="408">
        <v>5.32</v>
      </c>
      <c r="W74" s="408">
        <f t="shared" si="112"/>
        <v>6.85</v>
      </c>
      <c r="X74" s="408">
        <v>5.15</v>
      </c>
      <c r="Y74" s="408">
        <f t="shared" si="113"/>
        <v>6.75</v>
      </c>
      <c r="Z74" s="412">
        <v>4.99</v>
      </c>
      <c r="AH74" s="17"/>
      <c r="AN74" s="402" t="s">
        <v>343</v>
      </c>
      <c r="AO74" s="407">
        <v>9.44</v>
      </c>
      <c r="AP74" s="408">
        <f t="shared" si="114"/>
        <v>12.439999999999998</v>
      </c>
      <c r="AQ74" s="408">
        <v>8.84</v>
      </c>
      <c r="AR74" s="408">
        <f t="shared" si="115"/>
        <v>11.84</v>
      </c>
      <c r="AS74" s="408">
        <v>8.34</v>
      </c>
      <c r="AT74" s="408">
        <f t="shared" si="116"/>
        <v>11.279999999999998</v>
      </c>
      <c r="AU74" s="408">
        <v>7.92</v>
      </c>
      <c r="AV74" s="408">
        <f t="shared" si="117"/>
        <v>10.880000000000003</v>
      </c>
      <c r="AW74" s="408">
        <v>7.55</v>
      </c>
      <c r="AX74" s="408">
        <f t="shared" si="118"/>
        <v>10.429999999999996</v>
      </c>
      <c r="AY74" s="408">
        <v>7.23</v>
      </c>
      <c r="AZ74" s="408">
        <f t="shared" si="119"/>
        <v>10.129999999999999</v>
      </c>
      <c r="BA74" s="412">
        <v>6.94</v>
      </c>
      <c r="BI74" s="17"/>
      <c r="BO74" s="410" t="s">
        <v>561</v>
      </c>
      <c r="BP74" s="413">
        <v>13.76</v>
      </c>
      <c r="BQ74" s="411">
        <f>BP74-(BP74-BR74)*(BQ$64-BP$64)/(BR$64-BP$64)</f>
        <v>16.809999999999999</v>
      </c>
      <c r="BR74" s="411">
        <v>13.15</v>
      </c>
      <c r="BS74" s="411">
        <f t="shared" si="103"/>
        <v>16.390000000000008</v>
      </c>
      <c r="BT74" s="411">
        <v>12.61</v>
      </c>
      <c r="BU74" s="411">
        <f t="shared" si="104"/>
        <v>15.899999999999988</v>
      </c>
      <c r="BV74" s="411">
        <v>12.14</v>
      </c>
      <c r="BW74" s="411">
        <f t="shared" si="105"/>
        <v>15.579999999999998</v>
      </c>
      <c r="BX74" s="411">
        <v>11.71</v>
      </c>
      <c r="BY74" s="411">
        <f t="shared" si="106"/>
        <v>15.220000000000006</v>
      </c>
      <c r="BZ74" s="411">
        <v>11.32</v>
      </c>
      <c r="CA74" s="411">
        <f t="shared" si="107"/>
        <v>14.819999999999993</v>
      </c>
      <c r="CB74" s="414">
        <v>10.97</v>
      </c>
    </row>
    <row r="75" spans="1:80" ht="20.149999999999999" customHeight="1" thickBot="1" x14ac:dyDescent="0.3">
      <c r="A75" s="24"/>
      <c r="B75" s="24"/>
      <c r="C75" s="125"/>
      <c r="D75" s="424"/>
      <c r="E75" s="24"/>
      <c r="M75" s="410" t="s">
        <v>561</v>
      </c>
      <c r="N75" s="413">
        <v>7.65</v>
      </c>
      <c r="O75" s="411">
        <f>N75-(N75-P75)*(O$65-N$65)/(P$65-N$65)</f>
        <v>8.7500000000000036</v>
      </c>
      <c r="P75" s="411">
        <v>7.43</v>
      </c>
      <c r="Q75" s="411">
        <f t="shared" ref="Q75" si="120">P75-(P75-R75)*(Q$65-P$65)/(R$65-P$65)</f>
        <v>8.6299999999999955</v>
      </c>
      <c r="R75" s="411">
        <v>7.23</v>
      </c>
      <c r="S75" s="411">
        <f t="shared" ref="S75" si="121">R75-(R75-T75)*(S$65-R$65)/(T$65-R$65)</f>
        <v>8.4900000000000038</v>
      </c>
      <c r="T75" s="411">
        <v>7.05</v>
      </c>
      <c r="U75" s="411">
        <f t="shared" ref="U75" si="122">T75-(T75-V75)*(U$65-T$65)/(V$65-T$65)</f>
        <v>8.3300000000000018</v>
      </c>
      <c r="V75" s="411">
        <v>6.89</v>
      </c>
      <c r="W75" s="411">
        <f t="shared" ref="W75" si="123">V75-(V75-X75)*(W$65-V$65)/(X$65-V$65)</f>
        <v>8.329999999999993</v>
      </c>
      <c r="X75" s="411">
        <v>6.73</v>
      </c>
      <c r="Y75" s="411">
        <f t="shared" ref="Y75" si="124">X75-(X75-Z75)*(Y$65-X$65)/(Z$65-X$65)</f>
        <v>8.1300000000000043</v>
      </c>
      <c r="Z75" s="414">
        <v>6.59</v>
      </c>
      <c r="AH75" s="17"/>
      <c r="AN75" s="410" t="s">
        <v>561</v>
      </c>
      <c r="AO75" s="413">
        <v>12.23</v>
      </c>
      <c r="AP75" s="411">
        <f>AO75-(AO75-AQ75)*(AP$65-AO$65)/(AQ$65-AO$65)</f>
        <v>14.73</v>
      </c>
      <c r="AQ75" s="411">
        <v>11.73</v>
      </c>
      <c r="AR75" s="411">
        <f t="shared" ref="AR75" si="125">AQ75-(AQ75-AS75)*(AR$65-AQ$65)/(AS$65-AQ$65)</f>
        <v>14.490000000000006</v>
      </c>
      <c r="AS75" s="411">
        <v>11.27</v>
      </c>
      <c r="AT75" s="411">
        <f t="shared" ref="AT75" si="126">AS75-(AS75-AU75)*(AT$65-AS$65)/(AU$65-AS$65)</f>
        <v>14.209999999999997</v>
      </c>
      <c r="AU75" s="411">
        <v>10.85</v>
      </c>
      <c r="AV75" s="411">
        <f t="shared" ref="AV75" si="127">AU75-(AU75-AW75)*(AV$65-AU$65)/(AW$65-AU$65)</f>
        <v>13.809999999999993</v>
      </c>
      <c r="AW75" s="411">
        <v>10.48</v>
      </c>
      <c r="AX75" s="411">
        <f t="shared" ref="AX75" si="128">AW75-(AW75-AY75)*(AX$65-AW$65)/(AY$65-AW$65)</f>
        <v>13.54</v>
      </c>
      <c r="AY75" s="411">
        <v>10.14</v>
      </c>
      <c r="AZ75" s="411">
        <f t="shared" ref="AZ75" si="129">AY75-(AY75-BA75)*(AZ$65-AY$65)/(BA$65-AY$65)</f>
        <v>13.240000000000002</v>
      </c>
      <c r="BA75" s="414">
        <v>9.83</v>
      </c>
      <c r="BI75" s="17"/>
      <c r="BO75" s="410" t="s">
        <v>344</v>
      </c>
      <c r="BP75" s="413">
        <v>12.14</v>
      </c>
      <c r="BQ75" s="411">
        <f>BP75-(BP75-BR75)*(BQ$64-BP$64)/(BR$64-BP$64)</f>
        <v>15.440000000000001</v>
      </c>
      <c r="BR75" s="411">
        <v>11.48</v>
      </c>
      <c r="BS75" s="411">
        <f t="shared" ref="BS75" si="130">BR75-(BR75-BT75)*(BS$64-BR$64)/(BT$64-BR$64)</f>
        <v>14.900000000000002</v>
      </c>
      <c r="BT75" s="411">
        <v>10.91</v>
      </c>
      <c r="BU75" s="411">
        <f t="shared" ref="BU75" si="131">BT75-(BT75-BV75)*(BU$64-BT$64)/(BV$64-BT$64)</f>
        <v>14.339999999999998</v>
      </c>
      <c r="BV75" s="411">
        <v>10.42</v>
      </c>
      <c r="BW75" s="411">
        <f t="shared" ref="BW75" si="132">BV75-(BV75-BX75)*(BW$64-BV$64)/(BX$64-BV$64)</f>
        <v>13.86</v>
      </c>
      <c r="BX75" s="411">
        <v>9.99</v>
      </c>
      <c r="BY75" s="411">
        <f t="shared" ref="BY75" si="133">BX75-(BX75-BZ75)*(BY$64-BX$64)/(BZ$64-BX$64)</f>
        <v>13.500000000000007</v>
      </c>
      <c r="BZ75" s="411">
        <v>9.6</v>
      </c>
      <c r="CA75" s="411">
        <f t="shared" ref="CA75" si="134">BZ75-(BZ75-CB75)*(CA$64-BZ$64)/(CB$64-BZ$64)</f>
        <v>12.999999999999995</v>
      </c>
      <c r="CB75" s="414">
        <v>9.26</v>
      </c>
    </row>
    <row r="76" spans="1:80" ht="20.149999999999999" customHeight="1" thickBot="1" x14ac:dyDescent="0.3">
      <c r="A76" s="24"/>
      <c r="B76" s="24"/>
      <c r="C76" s="125"/>
      <c r="D76" s="424"/>
      <c r="E76" s="24"/>
      <c r="M76" s="410" t="s">
        <v>344</v>
      </c>
      <c r="N76" s="413">
        <v>7.11</v>
      </c>
      <c r="O76" s="411">
        <f t="shared" si="108"/>
        <v>8.4100000000000037</v>
      </c>
      <c r="P76" s="411">
        <v>6.85</v>
      </c>
      <c r="Q76" s="411">
        <f t="shared" si="109"/>
        <v>8.2299999999999969</v>
      </c>
      <c r="R76" s="411">
        <v>6.62</v>
      </c>
      <c r="S76" s="411">
        <f t="shared" si="110"/>
        <v>8.02</v>
      </c>
      <c r="T76" s="411">
        <v>6.42</v>
      </c>
      <c r="U76" s="411">
        <f t="shared" si="111"/>
        <v>7.8599999999999977</v>
      </c>
      <c r="V76" s="411">
        <v>6.24</v>
      </c>
      <c r="W76" s="411">
        <f t="shared" si="112"/>
        <v>7.77</v>
      </c>
      <c r="X76" s="411">
        <v>6.07</v>
      </c>
      <c r="Y76" s="411">
        <f t="shared" si="113"/>
        <v>7.67</v>
      </c>
      <c r="Z76" s="414">
        <v>5.91</v>
      </c>
      <c r="AH76" s="8"/>
      <c r="AN76" s="410" t="s">
        <v>344</v>
      </c>
      <c r="AO76" s="413">
        <v>10.92</v>
      </c>
      <c r="AP76" s="411">
        <f t="shared" si="114"/>
        <v>13.87</v>
      </c>
      <c r="AQ76" s="411">
        <v>10.33</v>
      </c>
      <c r="AR76" s="411">
        <f t="shared" si="115"/>
        <v>13.33</v>
      </c>
      <c r="AS76" s="411">
        <v>9.83</v>
      </c>
      <c r="AT76" s="411">
        <f t="shared" si="116"/>
        <v>12.909999999999993</v>
      </c>
      <c r="AU76" s="411">
        <v>9.39</v>
      </c>
      <c r="AV76" s="411">
        <f t="shared" si="117"/>
        <v>12.510000000000007</v>
      </c>
      <c r="AW76" s="411">
        <v>9</v>
      </c>
      <c r="AX76" s="411">
        <f t="shared" si="118"/>
        <v>12.059999999999999</v>
      </c>
      <c r="AY76" s="411">
        <v>8.66</v>
      </c>
      <c r="AZ76" s="411">
        <f t="shared" si="119"/>
        <v>11.760000000000002</v>
      </c>
      <c r="BA76" s="414">
        <v>8.35</v>
      </c>
      <c r="BI76" s="8"/>
    </row>
    <row r="77" spans="1:80" ht="20.149999999999999" customHeight="1" x14ac:dyDescent="0.25">
      <c r="A77" s="24"/>
      <c r="B77" s="24"/>
      <c r="C77" s="24"/>
      <c r="D77" s="310"/>
      <c r="E77" s="24"/>
      <c r="AH77" s="8"/>
      <c r="BI77" s="8"/>
      <c r="BO77" s="13" t="s">
        <v>68</v>
      </c>
      <c r="BP77" s="12"/>
      <c r="BQ77" s="12"/>
      <c r="BR77" s="12"/>
      <c r="BS77" s="12"/>
      <c r="BT77" s="12"/>
      <c r="BU77" s="12"/>
      <c r="BV77" s="12"/>
    </row>
    <row r="78" spans="1:80" ht="20.149999999999999" customHeight="1" x14ac:dyDescent="0.25">
      <c r="M78" s="13" t="s">
        <v>68</v>
      </c>
      <c r="N78" s="12"/>
      <c r="O78" s="12"/>
      <c r="P78" s="12"/>
      <c r="Q78" s="12"/>
      <c r="R78" s="12"/>
      <c r="S78" s="12"/>
      <c r="T78" s="12"/>
      <c r="AH78" s="8"/>
      <c r="AN78" s="13" t="s">
        <v>68</v>
      </c>
      <c r="AO78" s="12"/>
      <c r="AP78" s="12"/>
      <c r="AQ78" s="12"/>
      <c r="AR78" s="12"/>
      <c r="AS78" s="12"/>
      <c r="AT78" s="12"/>
      <c r="AU78" s="12"/>
      <c r="BI78" s="8"/>
      <c r="BO78" s="398" t="s">
        <v>66</v>
      </c>
      <c r="BP78" s="419" t="s">
        <v>345</v>
      </c>
      <c r="BQ78" s="420" t="s">
        <v>68</v>
      </c>
      <c r="BR78" s="12"/>
    </row>
    <row r="79" spans="1:80" ht="20.149999999999999" customHeight="1" x14ac:dyDescent="0.25">
      <c r="G79" s="422" t="s">
        <v>346</v>
      </c>
      <c r="H79" s="423">
        <f>O80</f>
        <v>7.05</v>
      </c>
      <c r="M79" s="398" t="s">
        <v>66</v>
      </c>
      <c r="N79" s="419" t="s">
        <v>345</v>
      </c>
      <c r="O79" s="420" t="s">
        <v>68</v>
      </c>
      <c r="P79" s="12"/>
      <c r="AH79" s="422" t="s">
        <v>354</v>
      </c>
      <c r="AI79" s="423">
        <f>AP80</f>
        <v>10.85</v>
      </c>
      <c r="AN79" s="398" t="s">
        <v>66</v>
      </c>
      <c r="AO79" s="419" t="s">
        <v>345</v>
      </c>
      <c r="AP79" s="420" t="s">
        <v>68</v>
      </c>
      <c r="AQ79" s="12"/>
      <c r="BI79" s="422" t="s">
        <v>362</v>
      </c>
      <c r="BJ79" s="423">
        <f>BQ79</f>
        <v>12.14</v>
      </c>
      <c r="BO79" s="398">
        <f>IF($D$38="","",MATCH($D$38,BO65:BO75))</f>
        <v>10</v>
      </c>
      <c r="BP79" s="398">
        <f>IF($D$36&gt;1.1,"",MATCH($D$36,BP64:CB64,0))</f>
        <v>7</v>
      </c>
      <c r="BQ79" s="421">
        <f>IF(OR($D$10="",$D$36=""),0,INDEX(BP65:CB75,BO79,BP79))</f>
        <v>12.14</v>
      </c>
      <c r="BR79" s="12"/>
    </row>
    <row r="80" spans="1:80" ht="20.149999999999999" customHeight="1" x14ac:dyDescent="0.25">
      <c r="G80" s="422" t="s">
        <v>347</v>
      </c>
      <c r="H80" s="423">
        <f>H79*H66*H67*H68*H69*H70</f>
        <v>6.9230999999999998</v>
      </c>
      <c r="M80" s="398">
        <f>IF($D$38="","",MATCH($D$38,M66:M76))</f>
        <v>10</v>
      </c>
      <c r="N80" s="398">
        <f>IF($D$36&gt;1.1,"",MATCH($D$36,N65:Z65,0))</f>
        <v>7</v>
      </c>
      <c r="O80" s="421">
        <f>IF(OR($D$10="",$D$36=""),0,INDEX(N66:Z76,M80,N80))</f>
        <v>7.05</v>
      </c>
      <c r="P80" s="12"/>
      <c r="AH80" s="422" t="s">
        <v>355</v>
      </c>
      <c r="AI80" s="423">
        <f>AI79*AI66*AI67*AI68*AI69*AI70</f>
        <v>10.546199999999999</v>
      </c>
      <c r="AN80" s="398">
        <f>IF($D$38="","",MATCH($D$38,AN66:AN76))</f>
        <v>10</v>
      </c>
      <c r="AO80" s="398">
        <f>IF($D$36&gt;1.1,"",MATCH($D$36,AO65:BA65,0))</f>
        <v>7</v>
      </c>
      <c r="AP80" s="421">
        <f>IF(OR($D$10="",$D$36=""),0,INDEX(AO66:BA76,AN80,AO80))</f>
        <v>10.85</v>
      </c>
      <c r="AQ80" s="12"/>
      <c r="BI80" s="422" t="s">
        <v>363</v>
      </c>
      <c r="BJ80" s="423">
        <f>BJ79*BJ66*BJ67*BJ68*BJ69*BJ70</f>
        <v>121400</v>
      </c>
    </row>
    <row r="81" spans="7:79" ht="20.149999999999999" customHeight="1" thickBot="1" x14ac:dyDescent="0.3"/>
    <row r="82" spans="7:79" ht="20.149999999999999" customHeight="1" thickBot="1" x14ac:dyDescent="0.3">
      <c r="AN82" s="450" t="s">
        <v>66</v>
      </c>
      <c r="AO82" s="451">
        <v>1</v>
      </c>
      <c r="AP82" s="451">
        <f>IF(AND($D$43&gt;1,$D$43&lt;1.5),$D$43,0)</f>
        <v>0</v>
      </c>
      <c r="AQ82" s="451">
        <v>1.5</v>
      </c>
      <c r="AR82" s="451">
        <f>IF(AND($D$43&gt;1.5,$D$43&lt;2),$D$43,0)</f>
        <v>0</v>
      </c>
      <c r="AS82" s="451">
        <v>2</v>
      </c>
      <c r="AT82" s="451">
        <f>IF(AND($D$43&gt;2,$D$43&lt;2.5),$D$43,0)</f>
        <v>0</v>
      </c>
      <c r="AU82" s="451">
        <v>2.5</v>
      </c>
      <c r="AV82" s="451">
        <f>IF(AND($D$43&gt;2.5,$D$43&lt;3),$D$43,0)</f>
        <v>0</v>
      </c>
      <c r="AW82" s="451">
        <v>3</v>
      </c>
      <c r="AX82" s="451">
        <f>IF(AND($D$43&gt;3,$D$43&lt;3.5),$D$43,0)</f>
        <v>3.1</v>
      </c>
      <c r="AY82" s="451">
        <v>3.5</v>
      </c>
      <c r="AZ82" s="452" t="s">
        <v>369</v>
      </c>
      <c r="BI82" s="649" t="s">
        <v>384</v>
      </c>
      <c r="BJ82" s="650"/>
      <c r="BO82" s="450" t="s">
        <v>66</v>
      </c>
      <c r="BP82" s="451">
        <v>1</v>
      </c>
      <c r="BQ82" s="451">
        <f>IF(AND($D$43&gt;1,$D$43&lt;1.5),$D$43,0)</f>
        <v>0</v>
      </c>
      <c r="BR82" s="451">
        <v>1.5</v>
      </c>
      <c r="BS82" s="451">
        <f>IF(AND($D$43&gt;1.5,$D$43&lt;2),$D$43,0)</f>
        <v>0</v>
      </c>
      <c r="BT82" s="451">
        <v>2</v>
      </c>
      <c r="BU82" s="451">
        <f>IF(AND($D$43&gt;2,$D$43&lt;2.5),$D$43,0)</f>
        <v>0</v>
      </c>
      <c r="BV82" s="451">
        <v>2.5</v>
      </c>
      <c r="BW82" s="451">
        <f>IF(AND($D$43&gt;2.5,$D$43&lt;3),$D$43,0)</f>
        <v>0</v>
      </c>
      <c r="BX82" s="451">
        <v>3</v>
      </c>
      <c r="BY82" s="451">
        <f>IF(AND($D$43&gt;3,$D$43&lt;3.5),$D$43,0)</f>
        <v>3.1</v>
      </c>
      <c r="BZ82" s="451">
        <v>3.5</v>
      </c>
      <c r="CA82" s="452" t="s">
        <v>369</v>
      </c>
    </row>
    <row r="83" spans="7:79" ht="20.149999999999999" customHeight="1" thickBot="1" x14ac:dyDescent="0.3">
      <c r="AN83" s="447" t="s">
        <v>513</v>
      </c>
      <c r="AO83" s="457">
        <v>6.46</v>
      </c>
      <c r="AP83" s="453">
        <f>AO83-(AO83-AQ83)*(AP$82-AO$82)/(AQ$82-AO$82)</f>
        <v>8.86</v>
      </c>
      <c r="AQ83" s="453">
        <v>5.26</v>
      </c>
      <c r="AR83" s="453">
        <f>AQ83-(AQ83-AS83)*(AR$82-AQ$82)/(AS$82-AQ$82)</f>
        <v>7.6899999999999986</v>
      </c>
      <c r="AS83" s="453">
        <v>4.45</v>
      </c>
      <c r="AT83" s="453">
        <f>AS83-(AS83-AU83)*(AT$82-AS$82)/(AU$82-AS$82)</f>
        <v>6.9700000000000015</v>
      </c>
      <c r="AU83" s="453">
        <v>3.82</v>
      </c>
      <c r="AV83" s="453">
        <f>AU83-(AU83-AW83)*(AV$82-AU$82)/(AW$82-AU$82)</f>
        <v>6.5699999999999985</v>
      </c>
      <c r="AW83" s="453">
        <v>3.27</v>
      </c>
      <c r="AX83" s="453"/>
      <c r="AY83" s="453"/>
      <c r="AZ83" s="458">
        <v>3.13</v>
      </c>
      <c r="BI83" s="444" t="s">
        <v>385</v>
      </c>
      <c r="BJ83" s="513">
        <f>BJ2</f>
        <v>1</v>
      </c>
      <c r="BO83" s="447" t="s">
        <v>513</v>
      </c>
      <c r="BP83" s="457">
        <v>6.93</v>
      </c>
      <c r="BQ83" s="453">
        <f>BP83-(BP83-BR83)*(BQ$82-BP$82)/(BR$82-BP$82)</f>
        <v>9.4899999999999984</v>
      </c>
      <c r="BR83" s="453">
        <v>5.65</v>
      </c>
      <c r="BS83" s="453">
        <f>BR83-(BR83-BT83)*(BS$82-BR$82)/(BT$82-BR$82)</f>
        <v>8.23</v>
      </c>
      <c r="BT83" s="453">
        <v>4.79</v>
      </c>
      <c r="BU83" s="453">
        <f>BT83-(BT83-BV83)*(BU$82-BT$82)/(BV$82-BT$82)</f>
        <v>7.4300000000000006</v>
      </c>
      <c r="BV83" s="453">
        <v>4.13</v>
      </c>
      <c r="BW83" s="453"/>
      <c r="BX83" s="453"/>
      <c r="BY83" s="453"/>
      <c r="BZ83" s="453"/>
      <c r="CA83" s="458">
        <v>3.28</v>
      </c>
    </row>
    <row r="84" spans="7:79" ht="20.149999999999999" customHeight="1" thickBot="1" x14ac:dyDescent="0.3">
      <c r="G84" s="767" t="s">
        <v>364</v>
      </c>
      <c r="H84" s="768"/>
      <c r="I84" s="107"/>
      <c r="J84" s="107"/>
      <c r="K84" s="107"/>
      <c r="M84" s="450" t="s">
        <v>66</v>
      </c>
      <c r="N84" s="451">
        <v>1</v>
      </c>
      <c r="O84" s="451">
        <f>IF(AND($D$43&gt;1,$D$43&lt;1.5),$D$43,0)</f>
        <v>0</v>
      </c>
      <c r="P84" s="451">
        <v>1.5</v>
      </c>
      <c r="Q84" s="451">
        <f>IF(AND($D$43&gt;1.5,$D$43&lt;2),$D$43,0)</f>
        <v>0</v>
      </c>
      <c r="R84" s="451">
        <v>2</v>
      </c>
      <c r="S84" s="451">
        <f>IF(AND($D$43&gt;2,$D$43&lt;2.5),$D$43,0)</f>
        <v>0</v>
      </c>
      <c r="T84" s="451">
        <v>2.5</v>
      </c>
      <c r="U84" s="451">
        <f>IF(AND($D$43&gt;2.5,$D$43&lt;3),$D$43,0)</f>
        <v>0</v>
      </c>
      <c r="V84" s="451">
        <v>3</v>
      </c>
      <c r="W84" s="451">
        <f>IF(AND($D$43&gt;3,$D$43&lt;3.5),$D$43,0)</f>
        <v>3.1</v>
      </c>
      <c r="X84" s="451">
        <v>3.5</v>
      </c>
      <c r="Y84" s="452" t="s">
        <v>369</v>
      </c>
      <c r="AA84" s="114"/>
      <c r="AH84" s="767" t="s">
        <v>377</v>
      </c>
      <c r="AI84" s="768"/>
      <c r="AN84" s="447" t="s">
        <v>514</v>
      </c>
      <c r="AO84" s="457">
        <v>6.47</v>
      </c>
      <c r="AP84" s="453">
        <f>AO84-(AO84-AQ84)*(AP$82-AO$82)/(AQ$82-AO$82)</f>
        <v>8.870000000000001</v>
      </c>
      <c r="AQ84" s="453">
        <v>5.27</v>
      </c>
      <c r="AR84" s="453">
        <f>AQ84-(AQ84-AS84)*(AR$82-AQ$82)/(AS$82-AQ$82)</f>
        <v>7.6999999999999984</v>
      </c>
      <c r="AS84" s="453">
        <v>4.46</v>
      </c>
      <c r="AT84" s="453">
        <f>AS84-(AS84-AU84)*(AT$82-AS$82)/(AU$82-AS$82)</f>
        <v>7.0200000000000005</v>
      </c>
      <c r="AU84" s="453">
        <v>3.82</v>
      </c>
      <c r="AV84" s="453">
        <f>AU84-(AU84-AW84)*(AV$82-AU$82)/(AW$82-AU$82)</f>
        <v>6.52</v>
      </c>
      <c r="AW84" s="453">
        <v>3.28</v>
      </c>
      <c r="AX84" s="453"/>
      <c r="AY84" s="453"/>
      <c r="AZ84" s="458">
        <v>3.14</v>
      </c>
      <c r="BI84" s="445" t="s">
        <v>386</v>
      </c>
      <c r="BJ84" s="446">
        <f>BJ3</f>
        <v>10000</v>
      </c>
      <c r="BO84" s="447" t="s">
        <v>514</v>
      </c>
      <c r="BP84" s="457">
        <v>6.95</v>
      </c>
      <c r="BQ84" s="453">
        <f>BP84-(BP84-BR84)*(BQ$82-BP$82)/(BR$82-BP$82)</f>
        <v>9.5300000000000011</v>
      </c>
      <c r="BR84" s="453">
        <v>5.66</v>
      </c>
      <c r="BS84" s="453">
        <f>BR84-(BR84-BT84)*(BS$82-BR$82)/(BT$82-BR$82)</f>
        <v>8.240000000000002</v>
      </c>
      <c r="BT84" s="453">
        <v>4.8</v>
      </c>
      <c r="BU84" s="453">
        <f>BT84-(BT84-BV84)*(BU$82-BT$82)/(BV$82-BT$82)</f>
        <v>7.3999999999999977</v>
      </c>
      <c r="BV84" s="453">
        <v>4.1500000000000004</v>
      </c>
      <c r="BW84" s="453">
        <f>BV84-(BV84-BX84)*(BW$82-BV$82)/(BX$82-BV$82)</f>
        <v>7.0000000000000018</v>
      </c>
      <c r="BX84" s="453">
        <v>3.58</v>
      </c>
      <c r="BY84" s="453"/>
      <c r="BZ84" s="453"/>
      <c r="CA84" s="458">
        <v>3.28</v>
      </c>
    </row>
    <row r="85" spans="7:79" ht="20.149999999999999" customHeight="1" thickBot="1" x14ac:dyDescent="0.3">
      <c r="G85" s="444" t="s">
        <v>365</v>
      </c>
      <c r="H85" s="513">
        <f>H2</f>
        <v>1</v>
      </c>
      <c r="I85" s="303"/>
      <c r="J85" s="303"/>
      <c r="K85" s="303"/>
      <c r="M85" s="447" t="s">
        <v>513</v>
      </c>
      <c r="N85" s="457">
        <v>4.34</v>
      </c>
      <c r="O85" s="453">
        <f>N85-(N85-P85)*(O$84-N$84)/(P$84-N$84)</f>
        <v>5.6599999999999993</v>
      </c>
      <c r="P85" s="453">
        <v>3.68</v>
      </c>
      <c r="Q85" s="453">
        <f>P85-(P85-R85)*(Q$84-P$84)/(R$84-P$84)</f>
        <v>5.3000000000000007</v>
      </c>
      <c r="R85" s="453">
        <v>3.14</v>
      </c>
      <c r="S85" s="453">
        <f>R85-(R85-T85)*(S$84-R$84)/(T$84-R$84)</f>
        <v>5.1800000000000015</v>
      </c>
      <c r="T85" s="453">
        <v>2.63</v>
      </c>
      <c r="U85" s="453"/>
      <c r="V85" s="453"/>
      <c r="W85" s="453"/>
      <c r="X85" s="453"/>
      <c r="Y85" s="458">
        <v>2.56</v>
      </c>
      <c r="AA85" s="114"/>
      <c r="AH85" s="444" t="s">
        <v>378</v>
      </c>
      <c r="AI85" s="513">
        <f>AI2</f>
        <v>1</v>
      </c>
      <c r="AN85" s="448" t="s">
        <v>515</v>
      </c>
      <c r="AO85" s="457">
        <v>7.87</v>
      </c>
      <c r="AP85" s="453">
        <f>AO85-(AO85-AQ85)*(AP$82-AO$82)/(AQ$82-AO$82)</f>
        <v>10.55</v>
      </c>
      <c r="AQ85" s="453">
        <v>6.53</v>
      </c>
      <c r="AR85" s="453">
        <f>AQ85-(AQ85-AS85)*(AR$82-AQ$82)/(AS$82-AQ$82)</f>
        <v>9.23</v>
      </c>
      <c r="AS85" s="453">
        <v>5.63</v>
      </c>
      <c r="AT85" s="453">
        <f>AS85-(AS85-AU85)*(AT$82-AS$82)/(AU$82-AS$82)</f>
        <v>8.43</v>
      </c>
      <c r="AU85" s="453">
        <v>4.93</v>
      </c>
      <c r="AV85" s="453">
        <f>AU85-(AU85-AW85)*(AV$82-AU$82)/(AW$82-AU$82)</f>
        <v>7.879999999999999</v>
      </c>
      <c r="AW85" s="453">
        <v>4.34</v>
      </c>
      <c r="AX85" s="453">
        <f>AW85-(AW85-AY85)*(AX$82-AW$82)/(AY$82-AW$82)</f>
        <v>4.234</v>
      </c>
      <c r="AY85" s="453">
        <v>3.81</v>
      </c>
      <c r="AZ85" s="458">
        <v>3.68</v>
      </c>
      <c r="BI85" s="445" t="s">
        <v>387</v>
      </c>
      <c r="BJ85" s="446">
        <f>BJ4</f>
        <v>1</v>
      </c>
      <c r="BO85" s="448" t="s">
        <v>515</v>
      </c>
      <c r="BP85" s="457">
        <v>8.51</v>
      </c>
      <c r="BQ85" s="453">
        <f>BP85-(BP85-BR85)*(BQ$82-BP$82)/(BR$82-BP$82)</f>
        <v>11.45</v>
      </c>
      <c r="BR85" s="453">
        <v>7.04</v>
      </c>
      <c r="BS85" s="453">
        <f>BR85-(BR85-BT85)*(BS$82-BR$82)/(BT$82-BR$82)</f>
        <v>9.9499999999999993</v>
      </c>
      <c r="BT85" s="453">
        <v>6.07</v>
      </c>
      <c r="BU85" s="453">
        <f>BT85-(BT85-BV85)*(BU$82-BT$82)/(BV$82-BT$82)</f>
        <v>8.990000000000002</v>
      </c>
      <c r="BV85" s="453">
        <v>5.34</v>
      </c>
      <c r="BW85" s="453">
        <f>BV85-(BV85-BX85)*(BW$82-BV$82)/(BX$82-BV$82)</f>
        <v>8.4400000000000013</v>
      </c>
      <c r="BX85" s="453">
        <v>4.72</v>
      </c>
      <c r="BY85" s="453">
        <f>BX85-(BX85-BZ85)*(BY$82-BX$82)/(BZ$82-BX$82)</f>
        <v>4.6099999999999994</v>
      </c>
      <c r="BZ85" s="453">
        <v>4.17</v>
      </c>
      <c r="CA85" s="458">
        <v>3.83</v>
      </c>
    </row>
    <row r="86" spans="7:79" ht="20.149999999999999" customHeight="1" x14ac:dyDescent="0.25">
      <c r="G86" s="445" t="s">
        <v>366</v>
      </c>
      <c r="H86" s="446">
        <f>H3</f>
        <v>0.98199999999999998</v>
      </c>
      <c r="I86" s="109"/>
      <c r="J86" s="109"/>
      <c r="K86" s="109"/>
      <c r="M86" s="447" t="s">
        <v>514</v>
      </c>
      <c r="N86" s="457">
        <v>4.5199999999999996</v>
      </c>
      <c r="O86" s="453">
        <f>N86-(N86-P86)*(O$84-N$84)/(P$84-N$84)</f>
        <v>5.879999999999999</v>
      </c>
      <c r="P86" s="453">
        <v>3.84</v>
      </c>
      <c r="Q86" s="453">
        <f>P86-(P86-R86)*(Q$84-P$84)/(R$84-P$84)</f>
        <v>5.4899999999999993</v>
      </c>
      <c r="R86" s="453">
        <v>3.29</v>
      </c>
      <c r="S86" s="453">
        <f>R86-(R86-T86)*(S$84-R$84)/(T$84-R$84)</f>
        <v>5.330000000000001</v>
      </c>
      <c r="T86" s="453">
        <v>2.78</v>
      </c>
      <c r="U86" s="453"/>
      <c r="V86" s="453"/>
      <c r="W86" s="453"/>
      <c r="X86" s="453"/>
      <c r="Y86" s="458">
        <v>2.64</v>
      </c>
      <c r="AA86" s="114"/>
      <c r="AH86" s="445" t="s">
        <v>379</v>
      </c>
      <c r="AI86" s="446">
        <f>AI3</f>
        <v>0.97199999999999998</v>
      </c>
      <c r="AN86" s="447" t="s">
        <v>511</v>
      </c>
      <c r="AO86" s="454">
        <v>4.7300000000000004</v>
      </c>
      <c r="AP86" s="455">
        <f>AO86-(AO86-AQ86)*(AP$82-AO$82)/(AQ$82-AO$82)</f>
        <v>6.6100000000000012</v>
      </c>
      <c r="AQ86" s="455">
        <v>3.79</v>
      </c>
      <c r="AR86" s="455">
        <f>AQ86-(AQ86-AS86)*(AR$82-AQ$82)/(AS$82-AQ$82)</f>
        <v>5.7700000000000005</v>
      </c>
      <c r="AS86" s="455">
        <v>3.13</v>
      </c>
      <c r="AT86" s="455">
        <f>AS86-(AS86-AU86)*(AT$82-AS$82)/(AU$82-AS$82)</f>
        <v>5.3299999999999992</v>
      </c>
      <c r="AU86" s="455">
        <v>2.58</v>
      </c>
      <c r="AV86" s="455"/>
      <c r="AW86" s="455"/>
      <c r="AX86" s="455"/>
      <c r="AY86" s="455"/>
      <c r="AZ86" s="456">
        <v>2.54</v>
      </c>
      <c r="BI86" s="445" t="s">
        <v>388</v>
      </c>
      <c r="BJ86" s="446">
        <f>BJ5</f>
        <v>1</v>
      </c>
      <c r="BO86" s="447" t="s">
        <v>511</v>
      </c>
      <c r="BP86" s="454">
        <v>5.09</v>
      </c>
      <c r="BQ86" s="455">
        <f>BP86-(BP86-BR86)*(BQ$82-BP$82)/(BR$82-BP$82)</f>
        <v>7.09</v>
      </c>
      <c r="BR86" s="455">
        <v>4.09</v>
      </c>
      <c r="BS86" s="455">
        <f>BR86-(BR86-BT86)*(BS$82-BR$82)/(BT$82-BR$82)</f>
        <v>6.1899999999999995</v>
      </c>
      <c r="BT86" s="455">
        <v>3.39</v>
      </c>
      <c r="BU86" s="455">
        <f>BT86-(BT86-BV86)*(BU$82-BT$82)/(BV$82-BT$82)</f>
        <v>5.6300000000000008</v>
      </c>
      <c r="BV86" s="455">
        <v>2.83</v>
      </c>
      <c r="BW86" s="455"/>
      <c r="BX86" s="455"/>
      <c r="BY86" s="455"/>
      <c r="BZ86" s="455"/>
      <c r="CA86" s="456">
        <v>2.66</v>
      </c>
    </row>
    <row r="87" spans="7:79" ht="20.149999999999999" customHeight="1" thickBot="1" x14ac:dyDescent="0.3">
      <c r="G87" s="445" t="s">
        <v>367</v>
      </c>
      <c r="H87" s="446">
        <f>H4</f>
        <v>1</v>
      </c>
      <c r="I87" s="109"/>
      <c r="J87" s="109"/>
      <c r="K87" s="109"/>
      <c r="M87" s="448" t="s">
        <v>515</v>
      </c>
      <c r="N87" s="457">
        <v>5.18</v>
      </c>
      <c r="O87" s="453">
        <f>N87-(N87-P87)*(O$84-N$84)/(P$84-N$84)</f>
        <v>6.5599999999999987</v>
      </c>
      <c r="P87" s="453">
        <v>4.49</v>
      </c>
      <c r="Q87" s="453">
        <f>P87-(P87-R87)*(Q$84-P$84)/(R$84-P$84)</f>
        <v>6.1400000000000006</v>
      </c>
      <c r="R87" s="453">
        <v>3.94</v>
      </c>
      <c r="S87" s="453">
        <f>R87-(R87-T87)*(S$84-R$84)/(T$84-R$84)</f>
        <v>5.9799999999999986</v>
      </c>
      <c r="T87" s="453">
        <v>3.43</v>
      </c>
      <c r="U87" s="453"/>
      <c r="V87" s="453"/>
      <c r="W87" s="453"/>
      <c r="X87" s="453"/>
      <c r="Y87" s="458">
        <v>2.96</v>
      </c>
      <c r="AA87" s="114"/>
      <c r="AH87" s="445" t="s">
        <v>380</v>
      </c>
      <c r="AI87" s="446">
        <f>AI4</f>
        <v>1</v>
      </c>
      <c r="AN87" s="448" t="s">
        <v>512</v>
      </c>
      <c r="AO87" s="457">
        <v>5.05</v>
      </c>
      <c r="AP87" s="453">
        <f>AO87-(AO87-AQ87)*(AP$82-AO$82)/(AQ$82-AO$82)</f>
        <v>6.9899999999999993</v>
      </c>
      <c r="AQ87" s="453">
        <v>4.08</v>
      </c>
      <c r="AR87" s="453">
        <f>AQ87-(AQ87-AS87)*(AR$82-AQ$82)/(AS$82-AQ$82)</f>
        <v>6.120000000000001</v>
      </c>
      <c r="AS87" s="453">
        <v>3.4</v>
      </c>
      <c r="AT87" s="453">
        <f>AS87-(AS87-AU87)*(AT$82-AS$82)/(AU$82-AS$82)</f>
        <v>5.6</v>
      </c>
      <c r="AU87" s="453">
        <v>2.85</v>
      </c>
      <c r="AV87" s="453"/>
      <c r="AW87" s="453"/>
      <c r="AX87" s="453"/>
      <c r="AY87" s="453"/>
      <c r="AZ87" s="458">
        <v>2.67</v>
      </c>
      <c r="BI87" s="443"/>
      <c r="BJ87" s="514"/>
      <c r="BO87" s="448" t="s">
        <v>512</v>
      </c>
      <c r="BP87" s="457">
        <v>5.44</v>
      </c>
      <c r="BQ87" s="453">
        <f>BP87-(BP87-BR87)*(BQ$82-BP$82)/(BR$82-BP$82)</f>
        <v>7.5200000000000005</v>
      </c>
      <c r="BR87" s="453">
        <v>4.4000000000000004</v>
      </c>
      <c r="BS87" s="453">
        <f>BR87-(BR87-BT87)*(BS$82-BR$82)/(BT$82-BR$82)</f>
        <v>6.5300000000000011</v>
      </c>
      <c r="BT87" s="453">
        <v>3.69</v>
      </c>
      <c r="BU87" s="453">
        <f>BT87-(BT87-BV87)*(BU$82-BT$82)/(BV$82-BT$82)</f>
        <v>6.01</v>
      </c>
      <c r="BV87" s="453">
        <v>3.11</v>
      </c>
      <c r="BW87" s="453"/>
      <c r="BX87" s="453"/>
      <c r="BY87" s="453"/>
      <c r="BZ87" s="453"/>
      <c r="CA87" s="458">
        <v>2.8</v>
      </c>
    </row>
    <row r="88" spans="7:79" ht="20.149999999999999" customHeight="1" x14ac:dyDescent="0.25">
      <c r="G88" s="445" t="s">
        <v>368</v>
      </c>
      <c r="H88" s="446">
        <f>H5</f>
        <v>1</v>
      </c>
      <c r="I88" s="24"/>
      <c r="J88" s="24"/>
      <c r="K88" s="24"/>
      <c r="M88" s="447" t="s">
        <v>511</v>
      </c>
      <c r="N88" s="454">
        <v>3.09</v>
      </c>
      <c r="O88" s="455">
        <f>N88-(N88-P88)*(O$84-N$84)/(P$84-N$84)</f>
        <v>4.25</v>
      </c>
      <c r="P88" s="455">
        <v>2.5099999999999998</v>
      </c>
      <c r="Q88" s="455"/>
      <c r="R88" s="455"/>
      <c r="S88" s="455"/>
      <c r="T88" s="455"/>
      <c r="U88" s="455"/>
      <c r="V88" s="455"/>
      <c r="W88" s="455"/>
      <c r="X88" s="455"/>
      <c r="Y88" s="456">
        <v>2</v>
      </c>
      <c r="AA88" s="114"/>
      <c r="AH88" s="445" t="s">
        <v>381</v>
      </c>
      <c r="AI88" s="446">
        <f>AI5</f>
        <v>1</v>
      </c>
      <c r="AN88" s="447" t="s">
        <v>340</v>
      </c>
      <c r="AO88" s="457">
        <v>9.3800000000000008</v>
      </c>
      <c r="AP88" s="453">
        <f t="shared" ref="AP88:AP91" si="135">AO88-(AO88-AQ88)*(AP$82-AO$82)/(AQ$82-AO$82)</f>
        <v>12.640000000000002</v>
      </c>
      <c r="AQ88" s="453">
        <v>7.75</v>
      </c>
      <c r="AR88" s="453">
        <f t="shared" ref="AR88:AR91" si="136">AQ88-(AQ88-AS88)*(AR$82-AQ$82)/(AS$82-AQ$82)</f>
        <v>10.93</v>
      </c>
      <c r="AS88" s="453">
        <v>6.69</v>
      </c>
      <c r="AT88" s="453">
        <f t="shared" ref="AT88:AT91" si="137">AS88-(AS88-AU88)*(AT$82-AS$82)/(AU$82-AS$82)</f>
        <v>9.8500000000000014</v>
      </c>
      <c r="AU88" s="453">
        <v>5.9</v>
      </c>
      <c r="AV88" s="453">
        <f t="shared" ref="AV88:AV91" si="138">AU88-(AU88-AW88)*(AV$82-AU$82)/(AW$82-AU$82)</f>
        <v>9.2000000000000011</v>
      </c>
      <c r="AW88" s="453">
        <v>5.24</v>
      </c>
      <c r="AX88" s="453">
        <f t="shared" ref="AX88:AX91" si="139">AW88-(AW88-AY88)*(AX$82-AW$82)/(AY$82-AW$82)</f>
        <v>5.1239999999999997</v>
      </c>
      <c r="AY88" s="453">
        <v>4.66</v>
      </c>
      <c r="AZ88" s="458">
        <v>4.0599999999999996</v>
      </c>
      <c r="BI88" s="466" t="s">
        <v>376</v>
      </c>
      <c r="BJ88" s="446">
        <f>IF($D$43=$D$44,(BJ83^0.5)*(BJ84^0.5)*(BJ85^0.5)*(BJ86^0.5),0)</f>
        <v>100</v>
      </c>
      <c r="BO88" s="447" t="s">
        <v>340</v>
      </c>
      <c r="BP88" s="457">
        <v>10.1</v>
      </c>
      <c r="BQ88" s="453">
        <f t="shared" ref="BQ88:BQ91" si="140">BP88-(BP88-BR88)*(BQ$82-BP$82)/(BR$82-BP$82)</f>
        <v>13.639999999999999</v>
      </c>
      <c r="BR88" s="453">
        <v>8.33</v>
      </c>
      <c r="BS88" s="453">
        <f t="shared" ref="BS88:BS91" si="141">BR88-(BR88-BT88)*(BS$82-BR$82)/(BT$82-BR$82)</f>
        <v>11.75</v>
      </c>
      <c r="BT88" s="453">
        <v>7.19</v>
      </c>
      <c r="BU88" s="453">
        <f t="shared" ref="BU88:BU91" si="142">BT88-(BT88-BV88)*(BU$82-BT$82)/(BV$82-BT$82)</f>
        <v>10.550000000000004</v>
      </c>
      <c r="BV88" s="453">
        <v>6.35</v>
      </c>
      <c r="BW88" s="453">
        <f t="shared" ref="BW88:BW91" si="143">BV88-(BV88-BX88)*(BW$82-BV$82)/(BX$82-BV$82)</f>
        <v>9.7999999999999972</v>
      </c>
      <c r="BX88" s="453">
        <v>5.66</v>
      </c>
      <c r="BY88" s="453">
        <f t="shared" ref="BY88:BY91" si="144">BX88-(BX88-BZ88)*(BY$82-BX$82)/(BZ$82-BX$82)</f>
        <v>5.5419999999999998</v>
      </c>
      <c r="BZ88" s="453">
        <v>5.07</v>
      </c>
      <c r="CA88" s="458">
        <v>4.26</v>
      </c>
    </row>
    <row r="89" spans="7:79" ht="20.149999999999999" customHeight="1" x14ac:dyDescent="0.25">
      <c r="G89" s="443"/>
      <c r="H89" s="514"/>
      <c r="M89" s="448" t="s">
        <v>512</v>
      </c>
      <c r="N89" s="457">
        <v>3.24</v>
      </c>
      <c r="O89" s="453">
        <f>N89-(N89-P89)*(O$84-N$84)/(P$84-N$84)</f>
        <v>4.3800000000000008</v>
      </c>
      <c r="P89" s="453">
        <v>2.67</v>
      </c>
      <c r="Q89" s="453">
        <f>P89-(P89-R89)*(Q$84-P$84)/(R$84-P$84)</f>
        <v>4.1999999999999993</v>
      </c>
      <c r="R89" s="453">
        <v>2.16</v>
      </c>
      <c r="S89" s="453"/>
      <c r="T89" s="453"/>
      <c r="U89" s="453"/>
      <c r="V89" s="453"/>
      <c r="W89" s="453"/>
      <c r="X89" s="453"/>
      <c r="Y89" s="458">
        <v>2.08</v>
      </c>
      <c r="AA89" s="114"/>
      <c r="AH89" s="443"/>
      <c r="AI89" s="514"/>
      <c r="AN89" s="448" t="s">
        <v>341</v>
      </c>
      <c r="AO89" s="457">
        <v>10.6</v>
      </c>
      <c r="AP89" s="453">
        <f t="shared" si="135"/>
        <v>13.92</v>
      </c>
      <c r="AQ89" s="453">
        <v>8.94</v>
      </c>
      <c r="AR89" s="453">
        <f t="shared" si="136"/>
        <v>12.299999999999997</v>
      </c>
      <c r="AS89" s="453">
        <v>7.82</v>
      </c>
      <c r="AT89" s="453">
        <f t="shared" si="137"/>
        <v>11.220000000000002</v>
      </c>
      <c r="AU89" s="453">
        <v>6.97</v>
      </c>
      <c r="AV89" s="453">
        <f t="shared" si="138"/>
        <v>10.47</v>
      </c>
      <c r="AW89" s="453">
        <v>6.27</v>
      </c>
      <c r="AX89" s="453">
        <f t="shared" si="139"/>
        <v>6.1479999999999997</v>
      </c>
      <c r="AY89" s="453">
        <v>5.66</v>
      </c>
      <c r="AZ89" s="458">
        <v>4.54</v>
      </c>
      <c r="BJ89" s="8"/>
      <c r="BO89" s="448" t="s">
        <v>341</v>
      </c>
      <c r="BP89" s="457">
        <v>11.51</v>
      </c>
      <c r="BQ89" s="453">
        <f t="shared" si="140"/>
        <v>15.209999999999999</v>
      </c>
      <c r="BR89" s="453">
        <v>9.66</v>
      </c>
      <c r="BS89" s="453">
        <f t="shared" si="141"/>
        <v>13.320000000000002</v>
      </c>
      <c r="BT89" s="453">
        <v>8.44</v>
      </c>
      <c r="BU89" s="453">
        <f t="shared" si="142"/>
        <v>12.079999999999997</v>
      </c>
      <c r="BV89" s="453">
        <v>7.53</v>
      </c>
      <c r="BW89" s="453">
        <f t="shared" si="143"/>
        <v>11.23</v>
      </c>
      <c r="BX89" s="453">
        <v>6.79</v>
      </c>
      <c r="BY89" s="453">
        <f t="shared" si="144"/>
        <v>6.6619999999999999</v>
      </c>
      <c r="BZ89" s="453">
        <v>6.15</v>
      </c>
      <c r="CA89" s="458">
        <v>4.7699999999999996</v>
      </c>
    </row>
    <row r="90" spans="7:79" ht="20.149999999999999" customHeight="1" x14ac:dyDescent="0.25">
      <c r="G90" s="466" t="s">
        <v>376</v>
      </c>
      <c r="H90" s="446">
        <f>IF($D$43=$D$44,($H$85^0.5)*($H$86^0.5)*($H$87^0.5)*($H$88^0.5),0)</f>
        <v>0.99095913134699964</v>
      </c>
      <c r="M90" s="447" t="s">
        <v>340</v>
      </c>
      <c r="N90" s="457">
        <v>5.62</v>
      </c>
      <c r="O90" s="453">
        <f t="shared" ref="O90:O93" si="145">N90-(N90-P90)*(O$84-N$84)/(P$84-N$84)</f>
        <v>7.1800000000000006</v>
      </c>
      <c r="P90" s="453">
        <v>4.84</v>
      </c>
      <c r="Q90" s="453">
        <f t="shared" ref="Q90:Q95" si="146">P90-(P90-R90)*(Q$84-P$84)/(R$84-P$84)</f>
        <v>6.6399999999999988</v>
      </c>
      <c r="R90" s="453">
        <v>4.24</v>
      </c>
      <c r="S90" s="453">
        <f t="shared" ref="S90:S95" si="147">R90-(R90-T90)*(S$84-R$84)/(T$84-R$84)</f>
        <v>6.3600000000000012</v>
      </c>
      <c r="T90" s="453">
        <v>3.71</v>
      </c>
      <c r="U90" s="453">
        <f t="shared" ref="U90:U95" si="148">T90-(T90-V90)*(U$84-T$84)/(V$84-T$84)</f>
        <v>6.21</v>
      </c>
      <c r="V90" s="453">
        <v>3.21</v>
      </c>
      <c r="W90" s="453"/>
      <c r="X90" s="453"/>
      <c r="Y90" s="458">
        <v>3.1</v>
      </c>
      <c r="AA90" s="114"/>
      <c r="AH90" s="466" t="s">
        <v>376</v>
      </c>
      <c r="AI90" s="446">
        <f>IF($D$43=$D$44,(AI85^0.5)*(AI86^0.5)*(AI87^0.5)*(AI88^0.5),0)</f>
        <v>0.98590060350929898</v>
      </c>
      <c r="AN90" s="448" t="s">
        <v>342</v>
      </c>
      <c r="AO90" s="457">
        <v>11.33</v>
      </c>
      <c r="AP90" s="453">
        <f t="shared" si="135"/>
        <v>14.67</v>
      </c>
      <c r="AQ90" s="453">
        <v>9.66</v>
      </c>
      <c r="AR90" s="453">
        <f t="shared" si="136"/>
        <v>13.110000000000001</v>
      </c>
      <c r="AS90" s="453">
        <v>8.51</v>
      </c>
      <c r="AT90" s="453">
        <f t="shared" si="137"/>
        <v>12.03</v>
      </c>
      <c r="AU90" s="453">
        <v>7.63</v>
      </c>
      <c r="AV90" s="453">
        <f t="shared" si="138"/>
        <v>11.229999999999999</v>
      </c>
      <c r="AW90" s="453">
        <v>6.91</v>
      </c>
      <c r="AX90" s="453">
        <f t="shared" si="139"/>
        <v>6.7839999999999998</v>
      </c>
      <c r="AY90" s="453">
        <v>6.28</v>
      </c>
      <c r="AZ90" s="458">
        <v>4.83</v>
      </c>
      <c r="BJ90" s="8"/>
      <c r="BO90" s="448" t="s">
        <v>342</v>
      </c>
      <c r="BP90" s="457">
        <v>12.36</v>
      </c>
      <c r="BQ90" s="453">
        <f t="shared" si="140"/>
        <v>16.119999999999997</v>
      </c>
      <c r="BR90" s="453">
        <v>10.48</v>
      </c>
      <c r="BS90" s="453">
        <f t="shared" si="141"/>
        <v>14.26</v>
      </c>
      <c r="BT90" s="453">
        <v>9.2200000000000006</v>
      </c>
      <c r="BU90" s="453">
        <f t="shared" si="142"/>
        <v>13.060000000000004</v>
      </c>
      <c r="BV90" s="453">
        <v>8.26</v>
      </c>
      <c r="BW90" s="453">
        <f t="shared" si="143"/>
        <v>12.109999999999998</v>
      </c>
      <c r="BX90" s="453">
        <v>7.49</v>
      </c>
      <c r="BY90" s="453">
        <f t="shared" si="144"/>
        <v>7.3579999999999997</v>
      </c>
      <c r="BZ90" s="453">
        <v>6.83</v>
      </c>
      <c r="CA90" s="458">
        <v>5.08</v>
      </c>
    </row>
    <row r="91" spans="7:79" ht="20.149999999999999" customHeight="1" x14ac:dyDescent="0.25">
      <c r="M91" s="448" t="s">
        <v>341</v>
      </c>
      <c r="N91" s="457">
        <v>6.46</v>
      </c>
      <c r="O91" s="453">
        <f t="shared" si="145"/>
        <v>7.96</v>
      </c>
      <c r="P91" s="453">
        <v>5.71</v>
      </c>
      <c r="Q91" s="453">
        <f t="shared" si="146"/>
        <v>7.5099999999999989</v>
      </c>
      <c r="R91" s="453">
        <v>5.1100000000000003</v>
      </c>
      <c r="S91" s="453">
        <f t="shared" si="147"/>
        <v>7.2300000000000013</v>
      </c>
      <c r="T91" s="453">
        <v>4.58</v>
      </c>
      <c r="U91" s="453">
        <f t="shared" si="148"/>
        <v>7.08</v>
      </c>
      <c r="V91" s="453">
        <v>4.08</v>
      </c>
      <c r="W91" s="453">
        <f>V91-(V91-X91)*(W$84-V$84)/(X$84-V$84)</f>
        <v>3.98</v>
      </c>
      <c r="X91" s="453">
        <v>3.58</v>
      </c>
      <c r="Y91" s="458">
        <v>3.54</v>
      </c>
      <c r="AA91" s="114"/>
      <c r="AH91" s="8"/>
      <c r="AN91" s="447" t="s">
        <v>343</v>
      </c>
      <c r="AO91" s="457">
        <v>7.98</v>
      </c>
      <c r="AP91" s="453">
        <f t="shared" si="135"/>
        <v>10.88</v>
      </c>
      <c r="AQ91" s="453">
        <v>6.53</v>
      </c>
      <c r="AR91" s="453">
        <f t="shared" si="136"/>
        <v>9.3500000000000014</v>
      </c>
      <c r="AS91" s="453">
        <v>5.59</v>
      </c>
      <c r="AT91" s="453">
        <f t="shared" si="137"/>
        <v>8.4699999999999989</v>
      </c>
      <c r="AU91" s="453">
        <v>4.87</v>
      </c>
      <c r="AV91" s="453">
        <f t="shared" si="138"/>
        <v>7.8700000000000028</v>
      </c>
      <c r="AW91" s="453">
        <v>4.2699999999999996</v>
      </c>
      <c r="AX91" s="453">
        <f t="shared" si="139"/>
        <v>4.1639999999999997</v>
      </c>
      <c r="AY91" s="453">
        <v>3.74</v>
      </c>
      <c r="AZ91" s="458">
        <v>3.62</v>
      </c>
      <c r="BJ91" s="8"/>
      <c r="BO91" s="447" t="s">
        <v>343</v>
      </c>
      <c r="BP91" s="457">
        <v>8.56</v>
      </c>
      <c r="BQ91" s="453">
        <f t="shared" si="140"/>
        <v>11.680000000000001</v>
      </c>
      <c r="BR91" s="453">
        <v>7</v>
      </c>
      <c r="BS91" s="453">
        <f t="shared" si="141"/>
        <v>10</v>
      </c>
      <c r="BT91" s="453">
        <v>6</v>
      </c>
      <c r="BU91" s="453">
        <f t="shared" si="142"/>
        <v>9</v>
      </c>
      <c r="BV91" s="453">
        <v>5.25</v>
      </c>
      <c r="BW91" s="453">
        <f t="shared" si="143"/>
        <v>8.3500000000000014</v>
      </c>
      <c r="BX91" s="453">
        <v>4.63</v>
      </c>
      <c r="BY91" s="453">
        <f t="shared" si="144"/>
        <v>4.5179999999999998</v>
      </c>
      <c r="BZ91" s="453">
        <v>4.07</v>
      </c>
      <c r="CA91" s="458">
        <v>3.78</v>
      </c>
    </row>
    <row r="92" spans="7:79" ht="20.149999999999999" customHeight="1" thickBot="1" x14ac:dyDescent="0.3">
      <c r="M92" s="448" t="s">
        <v>342</v>
      </c>
      <c r="N92" s="457">
        <v>6.74</v>
      </c>
      <c r="O92" s="453">
        <f t="shared" si="145"/>
        <v>8.2000000000000011</v>
      </c>
      <c r="P92" s="453">
        <v>6.01</v>
      </c>
      <c r="Q92" s="453">
        <f t="shared" si="146"/>
        <v>7.7799999999999994</v>
      </c>
      <c r="R92" s="453">
        <v>5.42</v>
      </c>
      <c r="S92" s="453">
        <f t="shared" si="147"/>
        <v>7.4999999999999982</v>
      </c>
      <c r="T92" s="453">
        <v>4.9000000000000004</v>
      </c>
      <c r="U92" s="453">
        <f t="shared" si="148"/>
        <v>7.4</v>
      </c>
      <c r="V92" s="453">
        <v>4.4000000000000004</v>
      </c>
      <c r="W92" s="453">
        <f>V92-(V92-X92)*(W$84-V$84)/(X$84-V$84)</f>
        <v>4.3020000000000005</v>
      </c>
      <c r="X92" s="453">
        <v>3.91</v>
      </c>
      <c r="Y92" s="458">
        <v>3.7</v>
      </c>
      <c r="AA92" s="114"/>
      <c r="AH92" s="8"/>
      <c r="AN92" s="449" t="s">
        <v>561</v>
      </c>
      <c r="AO92" s="459">
        <v>10.91</v>
      </c>
      <c r="AP92" s="460">
        <f>AO92-(AO92-AQ92)*(AP$82-AO$82)/(AQ$82-AO$82)</f>
        <v>13.969999999999999</v>
      </c>
      <c r="AQ92" s="460">
        <v>9.3800000000000008</v>
      </c>
      <c r="AR92" s="460">
        <f>AQ92-(AQ92-AS92)*(AR$82-AQ$82)/(AS$82-AQ$82)</f>
        <v>12.590000000000002</v>
      </c>
      <c r="AS92" s="460">
        <v>8.31</v>
      </c>
      <c r="AT92" s="460">
        <f>AS92-(AS92-AU92)*(AT$82-AS$82)/(AU$82-AS$82)</f>
        <v>11.670000000000003</v>
      </c>
      <c r="AU92" s="460">
        <v>7.47</v>
      </c>
      <c r="AV92" s="460">
        <f>AU92-(AU92-AW92)*(AV$82-AU$82)/(AW$82-AU$82)</f>
        <v>10.97</v>
      </c>
      <c r="AW92" s="460">
        <v>6.77</v>
      </c>
      <c r="AX92" s="460">
        <f>AW92-(AW92-AY92)*(AX$82-AW$82)/(AY$82-AW$82)</f>
        <v>6.6479999999999997</v>
      </c>
      <c r="AY92" s="460">
        <v>6.16</v>
      </c>
      <c r="AZ92" s="461">
        <v>4.78</v>
      </c>
      <c r="BJ92" s="8"/>
      <c r="BO92" s="449" t="s">
        <v>561</v>
      </c>
      <c r="BP92" s="459">
        <v>11.95</v>
      </c>
      <c r="BQ92" s="460">
        <f>BP92-(BP92-BR92)*(BQ$82-BP$82)/(BR$82-BP$82)</f>
        <v>15.409999999999997</v>
      </c>
      <c r="BR92" s="460">
        <v>10.220000000000001</v>
      </c>
      <c r="BS92" s="460">
        <f>BR92-(BR92-BT92)*(BS$82-BR$82)/(BT$82-BR$82)</f>
        <v>13.820000000000004</v>
      </c>
      <c r="BT92" s="460">
        <v>9.02</v>
      </c>
      <c r="BU92" s="460">
        <f>BT92-(BT92-BV92)*(BU$82-BT$82)/(BV$82-BT$82)</f>
        <v>12.66</v>
      </c>
      <c r="BV92" s="460">
        <v>8.11</v>
      </c>
      <c r="BW92" s="460">
        <f>BV92-(BV92-BX92)*(BW$82-BV$82)/(BX$82-BV$82)</f>
        <v>11.859999999999996</v>
      </c>
      <c r="BX92" s="460">
        <v>7.36</v>
      </c>
      <c r="BY92" s="460">
        <f>BX92-(BX92-BZ92)*(BY$82-BX$82)/(BZ$82-BX$82)</f>
        <v>7.2320000000000002</v>
      </c>
      <c r="BZ92" s="460">
        <v>6.72</v>
      </c>
      <c r="CA92" s="461">
        <v>5.03</v>
      </c>
    </row>
    <row r="93" spans="7:79" ht="20.149999999999999" customHeight="1" thickBot="1" x14ac:dyDescent="0.3">
      <c r="M93" s="447" t="s">
        <v>343</v>
      </c>
      <c r="N93" s="457">
        <v>5.55</v>
      </c>
      <c r="O93" s="453">
        <f t="shared" si="145"/>
        <v>7.1499999999999995</v>
      </c>
      <c r="P93" s="453">
        <v>4.75</v>
      </c>
      <c r="Q93" s="453">
        <f t="shared" si="146"/>
        <v>6.580000000000001</v>
      </c>
      <c r="R93" s="453">
        <v>4.1399999999999997</v>
      </c>
      <c r="S93" s="453">
        <f t="shared" si="147"/>
        <v>6.2599999999999989</v>
      </c>
      <c r="T93" s="453">
        <v>3.61</v>
      </c>
      <c r="U93" s="453">
        <f t="shared" si="148"/>
        <v>6.21</v>
      </c>
      <c r="V93" s="453">
        <v>3.09</v>
      </c>
      <c r="W93" s="453"/>
      <c r="X93" s="453"/>
      <c r="Y93" s="458">
        <v>3.05</v>
      </c>
      <c r="AA93" s="114"/>
      <c r="AH93" s="8"/>
      <c r="AN93" s="449" t="s">
        <v>344</v>
      </c>
      <c r="AO93" s="459">
        <v>9.44</v>
      </c>
      <c r="AP93" s="460">
        <f>AO93-(AO93-AQ93)*(AP$82-AO$82)/(AQ$82-AO$82)</f>
        <v>12.499999999999998</v>
      </c>
      <c r="AQ93" s="460">
        <v>7.91</v>
      </c>
      <c r="AR93" s="460">
        <f>AQ93-(AQ93-AS93)*(AR$82-AQ$82)/(AS$82-AQ$82)</f>
        <v>11</v>
      </c>
      <c r="AS93" s="460">
        <v>6.88</v>
      </c>
      <c r="AT93" s="460">
        <f>AS93-(AS93-AU93)*(AT$82-AS$82)/(AU$82-AS$82)</f>
        <v>10.039999999999999</v>
      </c>
      <c r="AU93" s="460">
        <v>6.09</v>
      </c>
      <c r="AV93" s="460">
        <f>AU93-(AU93-AW93)*(AV$82-AU$82)/(AW$82-AU$82)</f>
        <v>9.3399999999999963</v>
      </c>
      <c r="AW93" s="460">
        <v>5.44</v>
      </c>
      <c r="AX93" s="460">
        <f>AW93-(AW93-AY93)*(AX$82-AW$82)/(AY$82-AW$82)</f>
        <v>5.3239999999999998</v>
      </c>
      <c r="AY93" s="460">
        <v>4.8600000000000003</v>
      </c>
      <c r="AZ93" s="461">
        <v>4.16</v>
      </c>
      <c r="BJ93" s="8"/>
      <c r="BO93" s="449" t="s">
        <v>344</v>
      </c>
      <c r="BP93" s="459">
        <v>10.23</v>
      </c>
      <c r="BQ93" s="460">
        <f>BP93-(BP93-BR93)*(BQ$82-BP$82)/(BR$82-BP$82)</f>
        <v>13.630000000000003</v>
      </c>
      <c r="BR93" s="460">
        <v>8.5299999999999994</v>
      </c>
      <c r="BS93" s="460">
        <f>BR93-(BR93-BT93)*(BS$82-BR$82)/(BT$82-BR$82)</f>
        <v>11.859999999999998</v>
      </c>
      <c r="BT93" s="460">
        <v>7.42</v>
      </c>
      <c r="BU93" s="460">
        <f>BT93-(BT93-BV93)*(BU$82-BT$82)/(BV$82-BT$82)</f>
        <v>10.78</v>
      </c>
      <c r="BV93" s="460">
        <v>6.58</v>
      </c>
      <c r="BW93" s="460">
        <f>BV93-(BV93-BX93)*(BW$82-BV$82)/(BX$82-BV$82)</f>
        <v>10.030000000000001</v>
      </c>
      <c r="BX93" s="460">
        <v>5.89</v>
      </c>
      <c r="BY93" s="460">
        <f>BX93-(BX93-BZ93)*(BY$82-BX$82)/(BZ$82-BX$82)</f>
        <v>5.77</v>
      </c>
      <c r="BZ93" s="460">
        <v>5.29</v>
      </c>
      <c r="CA93" s="461">
        <v>4.37</v>
      </c>
    </row>
    <row r="94" spans="7:79" ht="20.149999999999999" customHeight="1" thickBot="1" x14ac:dyDescent="0.3">
      <c r="M94" s="449" t="s">
        <v>561</v>
      </c>
      <c r="N94" s="459">
        <v>7.09</v>
      </c>
      <c r="O94" s="460">
        <f>N94-(N94-P94)*(O$84-N$84)/(P$84-N$84)</f>
        <v>8.5499999999999989</v>
      </c>
      <c r="P94" s="460">
        <v>6.36</v>
      </c>
      <c r="Q94" s="460">
        <f t="shared" ref="Q94" si="149">P94-(P94-R94)*(Q$84-P$84)/(R$84-P$84)</f>
        <v>8.1000000000000014</v>
      </c>
      <c r="R94" s="460">
        <v>5.78</v>
      </c>
      <c r="S94" s="460">
        <f t="shared" ref="S94" si="150">R94-(R94-T94)*(S$84-R$84)/(T$84-R$84)</f>
        <v>7.8200000000000029</v>
      </c>
      <c r="T94" s="460">
        <v>5.27</v>
      </c>
      <c r="U94" s="460">
        <f t="shared" si="148"/>
        <v>7.7199999999999962</v>
      </c>
      <c r="V94" s="460">
        <v>4.78</v>
      </c>
      <c r="W94" s="460">
        <f>V94-(V94-X94)*(W$84-V$84)/(X$84-V$84)</f>
        <v>4.6820000000000004</v>
      </c>
      <c r="X94" s="460">
        <v>4.29</v>
      </c>
      <c r="Y94" s="461">
        <v>3.89</v>
      </c>
      <c r="AA94" s="114"/>
      <c r="AH94" s="8"/>
      <c r="BJ94" s="8"/>
    </row>
    <row r="95" spans="7:79" ht="20.149999999999999" customHeight="1" thickBot="1" x14ac:dyDescent="0.3">
      <c r="M95" s="449" t="s">
        <v>344</v>
      </c>
      <c r="N95" s="459">
        <v>6.46</v>
      </c>
      <c r="O95" s="460">
        <f>N95-(N95-P95)*(O$84-N$84)/(P$84-N$84)</f>
        <v>8.0399999999999991</v>
      </c>
      <c r="P95" s="460">
        <v>5.67</v>
      </c>
      <c r="Q95" s="460">
        <f t="shared" si="146"/>
        <v>7.5000000000000009</v>
      </c>
      <c r="R95" s="460">
        <v>5.0599999999999996</v>
      </c>
      <c r="S95" s="460">
        <f t="shared" si="147"/>
        <v>7.1799999999999971</v>
      </c>
      <c r="T95" s="460">
        <v>4.53</v>
      </c>
      <c r="U95" s="460">
        <f t="shared" si="148"/>
        <v>7.0800000000000036</v>
      </c>
      <c r="V95" s="460">
        <v>4.0199999999999996</v>
      </c>
      <c r="W95" s="460">
        <f>V95-(V95-X95)*(W$84-V$84)/(X$84-V$84)</f>
        <v>3.9199999999999995</v>
      </c>
      <c r="X95" s="460">
        <v>3.52</v>
      </c>
      <c r="Y95" s="461">
        <v>3.51</v>
      </c>
      <c r="AA95" s="10"/>
      <c r="AH95" s="8"/>
      <c r="AN95" s="462" t="s">
        <v>370</v>
      </c>
      <c r="AO95" s="12"/>
      <c r="AP95" s="12"/>
      <c r="AQ95" s="12"/>
      <c r="AR95" s="12"/>
      <c r="AS95" s="12"/>
      <c r="AT95" s="12"/>
      <c r="AU95" s="12"/>
      <c r="BJ95" s="8"/>
      <c r="BO95" s="462" t="s">
        <v>370</v>
      </c>
      <c r="BP95" s="12"/>
      <c r="BQ95" s="12"/>
      <c r="BR95" s="12"/>
      <c r="BS95" s="12"/>
      <c r="BT95" s="12"/>
      <c r="BU95" s="12"/>
      <c r="BV95" s="12"/>
    </row>
    <row r="96" spans="7:79" ht="20.149999999999999" customHeight="1" x14ac:dyDescent="0.25">
      <c r="AA96" s="10"/>
      <c r="AH96" s="8"/>
      <c r="AN96" s="465" t="s">
        <v>66</v>
      </c>
      <c r="AO96" s="463" t="s">
        <v>21</v>
      </c>
      <c r="AP96" s="467" t="s">
        <v>370</v>
      </c>
      <c r="BJ96" s="463" t="s">
        <v>389</v>
      </c>
      <c r="BK96" s="464">
        <f>BQ97</f>
        <v>7.2320000000000002</v>
      </c>
      <c r="BO96" s="465" t="s">
        <v>66</v>
      </c>
      <c r="BP96" s="463" t="s">
        <v>21</v>
      </c>
      <c r="BQ96" s="467" t="s">
        <v>370</v>
      </c>
    </row>
    <row r="97" spans="7:69" ht="20.149999999999999" customHeight="1" x14ac:dyDescent="0.25">
      <c r="M97" s="462" t="s">
        <v>370</v>
      </c>
      <c r="N97" s="12"/>
      <c r="O97" s="12"/>
      <c r="P97" s="12"/>
      <c r="Q97" s="12"/>
      <c r="R97" s="12"/>
      <c r="S97" s="12"/>
      <c r="T97" s="12"/>
      <c r="AH97" s="8"/>
      <c r="AN97" s="465">
        <f>IF($D$45="","",MATCH($D$45,AN83:AN93))</f>
        <v>10</v>
      </c>
      <c r="AO97" s="465">
        <f>IF($D$43&gt;3.5,"",MATCH($D$43,AO82:AY82,0))</f>
        <v>10</v>
      </c>
      <c r="AP97" s="468">
        <f>IF(OR($D$43="",$D$44=""),0,INDEX(AO83:AY93,AN97,AO97))</f>
        <v>6.6479999999999997</v>
      </c>
      <c r="BJ97" s="463" t="s">
        <v>390</v>
      </c>
      <c r="BK97" s="464">
        <f>IF($D$43=$D$44,BQ100*BJ88,BQ97*BJ83*BJ84*BJ85*BJ86)</f>
        <v>503</v>
      </c>
      <c r="BO97" s="465">
        <f>IF($D$45="","",MATCH($D$45,BO83:BO93))</f>
        <v>10</v>
      </c>
      <c r="BP97" s="465">
        <f>IF($D$43&gt;3.5,"",MATCH($D$43,BP82:BZ82,0))</f>
        <v>10</v>
      </c>
      <c r="BQ97" s="468">
        <f>IF(OR($D$43="",$D$44=""),0,INDEX(BP83:BZ93,BO97,BP97))</f>
        <v>7.2320000000000002</v>
      </c>
    </row>
    <row r="98" spans="7:69" ht="20.149999999999999" customHeight="1" x14ac:dyDescent="0.25">
      <c r="G98" s="463" t="s">
        <v>374</v>
      </c>
      <c r="H98" s="464">
        <f>O99</f>
        <v>4.6820000000000004</v>
      </c>
      <c r="M98" s="465" t="s">
        <v>66</v>
      </c>
      <c r="N98" s="463" t="s">
        <v>21</v>
      </c>
      <c r="O98" s="467" t="s">
        <v>370</v>
      </c>
      <c r="AH98" s="463" t="s">
        <v>382</v>
      </c>
      <c r="AI98" s="464">
        <f>AP97</f>
        <v>6.6479999999999997</v>
      </c>
    </row>
    <row r="99" spans="7:69" ht="20.149999999999999" customHeight="1" x14ac:dyDescent="0.25">
      <c r="G99" s="463" t="s">
        <v>375</v>
      </c>
      <c r="H99" s="464">
        <f>IF($D$43=$D$44,O102*H90,O99*H85*H86*H87*H88)</f>
        <v>3.8548310209398289</v>
      </c>
      <c r="M99" s="465">
        <f>IF($D$45="","",MATCH($D$45,M85:M95))</f>
        <v>10</v>
      </c>
      <c r="N99" s="465">
        <f>IF($D$43&gt;3.5,"",MATCH($D$43,N84:X84,0))</f>
        <v>10</v>
      </c>
      <c r="O99" s="468">
        <f>IF(OR($D$43="",$D$44=""),0,INDEX(N85:X95,M99,N99))</f>
        <v>4.6820000000000004</v>
      </c>
      <c r="AH99" s="463" t="s">
        <v>383</v>
      </c>
      <c r="AI99" s="464">
        <f>IF($D$43=$D$44,AP100*AI90,AP97*AI85*AI86*AI87*AI88)</f>
        <v>4.7126048847744491</v>
      </c>
      <c r="AP99" s="463" t="s">
        <v>373</v>
      </c>
      <c r="BQ99" s="463" t="s">
        <v>373</v>
      </c>
    </row>
    <row r="100" spans="7:69" ht="20.149999999999999" customHeight="1" x14ac:dyDescent="0.25">
      <c r="AB100" s="8"/>
      <c r="AP100" s="465">
        <f>VLOOKUP($D$45,AN83:AZ93,13)</f>
        <v>4.78</v>
      </c>
      <c r="BQ100" s="465">
        <f>VLOOKUP($D$45,BO83:CA93,13)</f>
        <v>5.03</v>
      </c>
    </row>
    <row r="101" spans="7:69" ht="20.149999999999999" customHeight="1" x14ac:dyDescent="0.25">
      <c r="O101" s="463" t="s">
        <v>373</v>
      </c>
      <c r="AB101" s="8"/>
    </row>
    <row r="102" spans="7:69" ht="20.149999999999999" customHeight="1" x14ac:dyDescent="0.25">
      <c r="O102" s="465">
        <f>VLOOKUP($D$45,M85:Y95,13)</f>
        <v>3.89</v>
      </c>
      <c r="AB102" s="8"/>
    </row>
    <row r="103" spans="7:69" ht="20.149999999999999" customHeight="1" x14ac:dyDescent="0.25"/>
    <row r="104" spans="7:69" ht="20.149999999999999" customHeight="1" x14ac:dyDescent="0.25"/>
    <row r="105" spans="7:69" ht="20.149999999999999" customHeight="1" x14ac:dyDescent="0.25"/>
    <row r="106" spans="7:69" ht="20.149999999999999" customHeight="1" x14ac:dyDescent="0.25"/>
    <row r="107" spans="7:69" ht="20.149999999999999" customHeight="1" x14ac:dyDescent="0.25"/>
    <row r="108" spans="7:69" ht="20.149999999999999" customHeight="1" x14ac:dyDescent="0.25"/>
    <row r="109" spans="7:69" ht="20.149999999999999" customHeight="1" x14ac:dyDescent="0.25"/>
    <row r="110" spans="7:69" ht="20.149999999999999" customHeight="1" x14ac:dyDescent="0.25"/>
    <row r="111" spans="7:69" ht="20.149999999999999" customHeight="1" x14ac:dyDescent="0.25"/>
    <row r="112" spans="7:69" ht="20.149999999999999" customHeight="1" x14ac:dyDescent="0.25"/>
  </sheetData>
  <sheetProtection sheet="1" objects="1" scenarios="1"/>
  <mergeCells count="14">
    <mergeCell ref="G84:H84"/>
    <mergeCell ref="G41:H41"/>
    <mergeCell ref="G1:H1"/>
    <mergeCell ref="G24:H24"/>
    <mergeCell ref="AH1:AI1"/>
    <mergeCell ref="AH24:AI24"/>
    <mergeCell ref="AH84:AI84"/>
    <mergeCell ref="G65:H65"/>
    <mergeCell ref="AH65:AI65"/>
    <mergeCell ref="BI65:BJ65"/>
    <mergeCell ref="BI41:BJ41"/>
    <mergeCell ref="BI1:BJ1"/>
    <mergeCell ref="BI24:BJ24"/>
    <mergeCell ref="AH41:AI41"/>
  </mergeCells>
  <phoneticPr fontId="0" type="noConversion"/>
  <dataValidations count="5">
    <dataValidation type="list" allowBlank="1" showInputMessage="1" showErrorMessage="1" sqref="D11">
      <formula1>$M$2:$M$15</formula1>
    </dataValidation>
    <dataValidation type="list" allowBlank="1" showInputMessage="1" showErrorMessage="1" sqref="D19">
      <formula1>$M$25:$M$31</formula1>
    </dataValidation>
    <dataValidation type="list" allowBlank="1" showInputMessage="1" showErrorMessage="1" sqref="D38">
      <formula1>$M$66:$M$76</formula1>
    </dataValidation>
    <dataValidation type="list" allowBlank="1" showInputMessage="1" showErrorMessage="1" sqref="D45">
      <formula1>$M$85:$M$95</formula1>
    </dataValidation>
    <dataValidation type="list" allowBlank="1" showInputMessage="1" showErrorMessage="1" sqref="D26">
      <formula1>$M$42:$M$57</formula1>
    </dataValidation>
  </dataValidations>
  <hyperlinks>
    <hyperlink ref="E13" location="Info!A1" display="'Info"/>
    <hyperlink ref="E27" location="Info!A1" display="'Info"/>
  </hyperlinks>
  <printOptions horizontalCentered="1"/>
  <pageMargins left="0.19685039370078741" right="0.19685039370078741" top="0.78740157480314965" bottom="0.39370078740157483" header="0.19685039370078741" footer="0.19685039370078741"/>
  <pageSetup paperSize="9" scale="82" orientation="portrait" blackAndWhite="1" horizontalDpi="4294967293" verticalDpi="4294967293" r:id="rId1"/>
  <headerFooter alignWithMargins="0">
    <oddHeader>&amp;C&amp;G</oddHeader>
    <oddFooter>&amp;L&amp;8Stand: Januar 2020
&amp;R&amp;8&amp;D</oddFooter>
  </headerFooter>
  <colBreaks count="1" manualBreakCount="1">
    <brk id="5" max="1048575" man="1"/>
  </colBreaks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Daten!$A$38:$A$43</xm:f>
          </x14:formula1>
          <xm:sqref>D5</xm:sqref>
        </x14:dataValidation>
        <x14:dataValidation type="list" allowBlank="1" showInputMessage="1" showErrorMessage="1">
          <x14:formula1>
            <xm:f>Daten!$A$44:$A$47</xm:f>
          </x14:formula1>
          <xm:sqref>D13</xm:sqref>
        </x14:dataValidation>
        <x14:dataValidation type="list" allowBlank="1" showInputMessage="1" showErrorMessage="1">
          <x14:formula1>
            <xm:f>Daten!$A$22:$A$25</xm:f>
          </x14:formula1>
          <xm:sqref>D27 D37</xm:sqref>
        </x14:dataValidation>
        <x14:dataValidation type="list" allowBlank="1" showInputMessage="1" showErrorMessage="1">
          <x14:formula1>
            <xm:f>Daten!$A$104:$A$110</xm:f>
          </x14:formula1>
          <xm:sqref>B32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FF0000"/>
  </sheetPr>
  <dimension ref="A1:F63"/>
  <sheetViews>
    <sheetView zoomScale="80" zoomScaleNormal="80" zoomScaleSheetLayoutView="100" workbookViewId="0">
      <selection activeCell="D13" sqref="D13"/>
    </sheetView>
  </sheetViews>
  <sheetFormatPr baseColWidth="10" defaultColWidth="11.453125" defaultRowHeight="12.5" x14ac:dyDescent="0.25"/>
  <cols>
    <col min="1" max="1" width="33.81640625" style="536" bestFit="1" customWidth="1"/>
    <col min="2" max="2" width="3.26953125" style="536" bestFit="1" customWidth="1"/>
    <col min="3" max="3" width="13.54296875" style="536" bestFit="1" customWidth="1"/>
    <col min="4" max="5" width="11.453125" style="536"/>
    <col min="6" max="6" width="13.26953125" style="536" customWidth="1"/>
    <col min="7" max="16384" width="11.453125" style="536"/>
  </cols>
  <sheetData>
    <row r="1" spans="1:6" ht="20.149999999999999" customHeight="1" x14ac:dyDescent="0.25">
      <c r="A1" s="2"/>
      <c r="B1" s="3" t="s">
        <v>44</v>
      </c>
      <c r="C1" s="4"/>
      <c r="D1" s="26">
        <f>'Ermittlung Schneelast'!D6</f>
        <v>0</v>
      </c>
      <c r="E1" s="26"/>
    </row>
    <row r="2" spans="1:6" ht="20.149999999999999" customHeight="1" x14ac:dyDescent="0.25">
      <c r="A2" s="24"/>
      <c r="B2" s="3" t="s">
        <v>45</v>
      </c>
      <c r="C2" s="4"/>
      <c r="D2" s="26">
        <f>'Ermittlung Schneelast'!D7</f>
        <v>0</v>
      </c>
      <c r="E2" s="26"/>
    </row>
    <row r="3" spans="1:6" ht="20.149999999999999" customHeight="1" x14ac:dyDescent="0.25">
      <c r="A3" s="24"/>
      <c r="B3" s="2"/>
      <c r="C3" s="2"/>
      <c r="D3" s="11"/>
      <c r="E3" s="2"/>
    </row>
    <row r="4" spans="1:6" ht="20.149999999999999" customHeight="1" x14ac:dyDescent="0.25">
      <c r="A4" s="770" t="s">
        <v>426</v>
      </c>
      <c r="B4" s="771"/>
      <c r="C4" s="771"/>
      <c r="D4" s="771"/>
      <c r="E4" s="771"/>
      <c r="F4" s="772"/>
    </row>
    <row r="5" spans="1:6" ht="20.149999999999999" customHeight="1" x14ac:dyDescent="0.25">
      <c r="A5" s="551"/>
      <c r="B5" s="551"/>
      <c r="C5" s="551"/>
      <c r="D5" s="551"/>
      <c r="E5" s="551"/>
      <c r="F5" s="551"/>
    </row>
    <row r="6" spans="1:6" ht="20.149999999999999" customHeight="1" x14ac:dyDescent="0.25">
      <c r="A6" s="552" t="s">
        <v>427</v>
      </c>
      <c r="B6" s="553"/>
      <c r="C6" s="553"/>
      <c r="D6" s="553"/>
      <c r="E6" s="553"/>
      <c r="F6" s="554"/>
    </row>
    <row r="7" spans="1:6" ht="20.149999999999999" customHeight="1" x14ac:dyDescent="0.25">
      <c r="A7" s="537" t="s">
        <v>398</v>
      </c>
      <c r="B7" s="538" t="s">
        <v>0</v>
      </c>
      <c r="C7" s="539">
        <f>'Ermittlung Schneelast'!_b2</f>
        <v>3.5</v>
      </c>
    </row>
    <row r="8" spans="1:6" ht="20.149999999999999" customHeight="1" x14ac:dyDescent="0.25">
      <c r="A8" s="537" t="s">
        <v>399</v>
      </c>
      <c r="B8" s="538" t="s">
        <v>0</v>
      </c>
      <c r="C8" s="539">
        <f>'Bemessungstabelle isoliert'!H19</f>
        <v>4.0684259999999997</v>
      </c>
    </row>
    <row r="9" spans="1:6" ht="20.149999999999999" customHeight="1" x14ac:dyDescent="0.25">
      <c r="A9" s="537" t="s">
        <v>400</v>
      </c>
      <c r="B9" s="538" t="s">
        <v>0</v>
      </c>
      <c r="C9" s="539">
        <f>'Bemessungstabelle isoliert'!AI19</f>
        <v>5.7046680000000007</v>
      </c>
    </row>
    <row r="10" spans="1:6" ht="20.149999999999999" customHeight="1" x14ac:dyDescent="0.25">
      <c r="A10" s="537" t="s">
        <v>401</v>
      </c>
      <c r="B10" s="538" t="s">
        <v>0</v>
      </c>
      <c r="C10" s="539">
        <f>'Bemessungstabelle isoliert'!BJ19</f>
        <v>62699.999999999993</v>
      </c>
    </row>
    <row r="11" spans="1:6" ht="20.149999999999999" customHeight="1" x14ac:dyDescent="0.25">
      <c r="A11" s="537" t="s">
        <v>402</v>
      </c>
      <c r="B11" s="537" t="s">
        <v>0</v>
      </c>
      <c r="C11" s="540">
        <f>'Bemessungstabelle isoliert'!D16</f>
        <v>11.313877170879847</v>
      </c>
    </row>
    <row r="12" spans="1:6" ht="20.149999999999999" customHeight="1" x14ac:dyDescent="0.25">
      <c r="A12" s="537" t="s">
        <v>4</v>
      </c>
      <c r="B12" s="537" t="s">
        <v>0</v>
      </c>
      <c r="C12" s="541">
        <f>'Ermittlung Schneelast'!D18</f>
        <v>10</v>
      </c>
    </row>
    <row r="13" spans="1:6" ht="20.149999999999999" customHeight="1" x14ac:dyDescent="0.25">
      <c r="A13" s="537"/>
      <c r="B13" s="537"/>
      <c r="C13" s="541"/>
    </row>
    <row r="14" spans="1:6" ht="20.149999999999999" customHeight="1" x14ac:dyDescent="0.25">
      <c r="A14" s="555" t="s">
        <v>415</v>
      </c>
    </row>
    <row r="15" spans="1:6" ht="20.149999999999999" customHeight="1" x14ac:dyDescent="0.25">
      <c r="A15" s="537" t="s">
        <v>398</v>
      </c>
      <c r="B15" s="542" t="s">
        <v>403</v>
      </c>
      <c r="C15" s="543" t="s">
        <v>399</v>
      </c>
    </row>
    <row r="16" spans="1:6" ht="20.149999999999999" customHeight="1" x14ac:dyDescent="0.25">
      <c r="A16" s="561">
        <f>C7</f>
        <v>3.5</v>
      </c>
      <c r="B16" s="556" t="str">
        <f>IF(A16&lt;=C16,"&lt;=","&gt;")</f>
        <v>&lt;=</v>
      </c>
      <c r="C16" s="560">
        <f>C8</f>
        <v>4.0684259999999997</v>
      </c>
      <c r="D16" s="556" t="str">
        <f>IF(A16&lt;=C16,"Bedingung erfüllt","Bedingung nicht erfüllt!!")</f>
        <v>Bedingung erfüllt</v>
      </c>
    </row>
    <row r="17" spans="1:6" ht="20.149999999999999" customHeight="1" x14ac:dyDescent="0.25"/>
    <row r="18" spans="1:6" ht="20.149999999999999" customHeight="1" x14ac:dyDescent="0.25">
      <c r="A18" s="555" t="s">
        <v>416</v>
      </c>
    </row>
    <row r="19" spans="1:6" ht="20.149999999999999" customHeight="1" x14ac:dyDescent="0.25">
      <c r="A19" s="545" t="s">
        <v>417</v>
      </c>
      <c r="B19" s="538" t="s">
        <v>0</v>
      </c>
      <c r="C19" s="773" t="s">
        <v>414</v>
      </c>
      <c r="D19" s="773"/>
      <c r="E19" s="773"/>
      <c r="F19" s="773"/>
    </row>
    <row r="20" spans="1:6" ht="20.149999999999999" customHeight="1" x14ac:dyDescent="0.25">
      <c r="A20" s="537" t="s">
        <v>418</v>
      </c>
      <c r="B20" s="538" t="s">
        <v>0</v>
      </c>
      <c r="C20" s="546">
        <f>VLOOKUP(C19,Daten!A63:B73,2)</f>
        <v>0.9</v>
      </c>
    </row>
    <row r="21" spans="1:6" ht="20.149999999999999" customHeight="1" x14ac:dyDescent="0.25">
      <c r="A21" s="537"/>
      <c r="B21" s="538"/>
      <c r="C21" s="546"/>
    </row>
    <row r="22" spans="1:6" ht="20.149999999999999" customHeight="1" x14ac:dyDescent="0.25">
      <c r="A22" s="537" t="s">
        <v>398</v>
      </c>
      <c r="B22" s="542" t="s">
        <v>403</v>
      </c>
      <c r="C22" s="543" t="s">
        <v>419</v>
      </c>
    </row>
    <row r="23" spans="1:6" ht="20.149999999999999" customHeight="1" x14ac:dyDescent="0.25">
      <c r="A23" s="561">
        <f>C7</f>
        <v>3.5</v>
      </c>
      <c r="B23" s="556" t="str">
        <f>IF(A23&lt;=C23,"&lt;=","&gt;")</f>
        <v>&lt;=</v>
      </c>
      <c r="C23" s="560">
        <f>C9*C20</f>
        <v>5.1342012000000006</v>
      </c>
      <c r="D23" s="556" t="str">
        <f>IF(A23&lt;=C23,"Bedingung erfüllt","Bedingung nicht erfüllt!!")</f>
        <v>Bedingung erfüllt</v>
      </c>
    </row>
    <row r="24" spans="1:6" ht="20.149999999999999" customHeight="1" x14ac:dyDescent="0.25">
      <c r="A24" s="547"/>
      <c r="C24" s="544"/>
    </row>
    <row r="25" spans="1:6" ht="20.149999999999999" customHeight="1" x14ac:dyDescent="0.25">
      <c r="A25" s="537" t="s">
        <v>398</v>
      </c>
      <c r="B25" s="542" t="s">
        <v>403</v>
      </c>
      <c r="C25" s="543" t="s">
        <v>420</v>
      </c>
    </row>
    <row r="26" spans="1:6" ht="20.149999999999999" customHeight="1" x14ac:dyDescent="0.25">
      <c r="A26" s="559">
        <f>C7</f>
        <v>3.5</v>
      </c>
      <c r="B26" s="556" t="str">
        <f>IF(A26&lt;=C26,"&lt;=","&gt;")</f>
        <v>&lt;=</v>
      </c>
      <c r="C26" s="560">
        <f>C10*C20</f>
        <v>56429.999999999993</v>
      </c>
      <c r="D26" s="556" t="str">
        <f>IF(A26&lt;=C26,"Bedingung erfüllt","Bedingung nicht erfüllt!!")</f>
        <v>Bedingung erfüllt</v>
      </c>
    </row>
    <row r="27" spans="1:6" ht="20.149999999999999" customHeight="1" x14ac:dyDescent="0.25"/>
    <row r="28" spans="1:6" ht="20.149999999999999" customHeight="1" x14ac:dyDescent="0.25">
      <c r="A28" s="555" t="s">
        <v>422</v>
      </c>
    </row>
    <row r="29" spans="1:6" ht="20.149999999999999" customHeight="1" x14ac:dyDescent="0.25">
      <c r="A29" s="545" t="s">
        <v>421</v>
      </c>
      <c r="B29" s="538" t="s">
        <v>0</v>
      </c>
      <c r="C29" s="534">
        <v>5.2</v>
      </c>
    </row>
    <row r="30" spans="1:6" ht="20.149999999999999" customHeight="1" x14ac:dyDescent="0.25">
      <c r="A30" s="537" t="s">
        <v>424</v>
      </c>
      <c r="B30" s="538" t="s">
        <v>0</v>
      </c>
      <c r="C30" s="535">
        <v>2</v>
      </c>
    </row>
    <row r="31" spans="1:6" ht="20.149999999999999" customHeight="1" x14ac:dyDescent="0.25">
      <c r="A31" s="537"/>
      <c r="B31" s="538"/>
      <c r="C31" s="548"/>
    </row>
    <row r="32" spans="1:6" ht="20.149999999999999" customHeight="1" x14ac:dyDescent="0.25">
      <c r="A32" s="537" t="s">
        <v>423</v>
      </c>
      <c r="B32" s="542" t="s">
        <v>403</v>
      </c>
      <c r="C32" s="549" t="s">
        <v>425</v>
      </c>
    </row>
    <row r="33" spans="1:6" ht="20.149999999999999" customHeight="1" x14ac:dyDescent="0.25">
      <c r="A33" s="557">
        <f>IF(C30=2,C11*TAN(C12*PI()/180)*1,IF(C30=1,C11*TAN(C12*PI()/180)*2,"nicht möglich"))</f>
        <v>1.994941801647673</v>
      </c>
      <c r="B33" s="556" t="str">
        <f>IF(A33&lt;=C33,"&lt;=","&gt;")</f>
        <v>&lt;=</v>
      </c>
      <c r="C33" s="558">
        <f>IF(8&lt;C29*1000/500,8,C29*1000/500)</f>
        <v>8</v>
      </c>
      <c r="D33" s="556" t="str">
        <f>IF(A33&lt;=C33,"Bedingung erfüllt","Bedingung nicht erfüllt!!")</f>
        <v>Bedingung erfüllt</v>
      </c>
    </row>
    <row r="34" spans="1:6" ht="20.149999999999999" customHeight="1" x14ac:dyDescent="0.25">
      <c r="A34" s="128"/>
      <c r="B34" s="538"/>
      <c r="C34" s="550"/>
    </row>
    <row r="35" spans="1:6" ht="20.149999999999999" customHeight="1" x14ac:dyDescent="0.25">
      <c r="A35" s="552" t="s">
        <v>437</v>
      </c>
      <c r="B35" s="553"/>
      <c r="C35" s="553"/>
      <c r="D35" s="553"/>
      <c r="E35" s="553"/>
      <c r="F35" s="554"/>
    </row>
    <row r="36" spans="1:6" ht="20.149999999999999" customHeight="1" x14ac:dyDescent="0.25">
      <c r="A36" s="128"/>
      <c r="B36" s="538"/>
      <c r="C36" s="550"/>
    </row>
    <row r="37" spans="1:6" ht="20.149999999999999" customHeight="1" x14ac:dyDescent="0.25">
      <c r="A37" s="309">
        <f>'Bemessungstabelle isoliert'!B28</f>
        <v>5.0999999999999996</v>
      </c>
      <c r="B37" s="556" t="str">
        <f>IF(A37&lt;=C37,"&lt;=","&gt;")</f>
        <v>&gt;</v>
      </c>
      <c r="C37" s="309">
        <f>'Bemessungstabelle isoliert'!D28*0.9</f>
        <v>2.4824859345000001</v>
      </c>
      <c r="D37" s="556" t="str">
        <f>IF(A37&lt;=C37,"Bedingung erfüllt","Bedingung nicht erfüllt!!")</f>
        <v>Bedingung nicht erfüllt!!</v>
      </c>
    </row>
    <row r="38" spans="1:6" ht="20.149999999999999" customHeight="1" x14ac:dyDescent="0.25">
      <c r="A38" s="128"/>
      <c r="B38" s="538"/>
    </row>
    <row r="39" spans="1:6" ht="20.149999999999999" customHeight="1" x14ac:dyDescent="0.25">
      <c r="A39" s="578" t="s">
        <v>436</v>
      </c>
      <c r="B39" s="542"/>
      <c r="C39" s="539"/>
    </row>
    <row r="40" spans="1:6" ht="20.149999999999999" customHeight="1" x14ac:dyDescent="0.25"/>
    <row r="41" spans="1:6" ht="20.149999999999999" customHeight="1" x14ac:dyDescent="0.25"/>
    <row r="42" spans="1:6" ht="20.149999999999999" customHeight="1" x14ac:dyDescent="0.25"/>
    <row r="43" spans="1:6" ht="20.149999999999999" customHeight="1" x14ac:dyDescent="0.25"/>
    <row r="44" spans="1:6" ht="20.149999999999999" customHeight="1" x14ac:dyDescent="0.25"/>
    <row r="45" spans="1:6" ht="20.149999999999999" customHeight="1" x14ac:dyDescent="0.25"/>
    <row r="46" spans="1:6" ht="20.149999999999999" customHeight="1" x14ac:dyDescent="0.25"/>
    <row r="47" spans="1:6" ht="20.149999999999999" customHeight="1" x14ac:dyDescent="0.25"/>
    <row r="48" spans="1:6" ht="20.149999999999999" customHeight="1" x14ac:dyDescent="0.25"/>
    <row r="49" ht="20.149999999999999" customHeight="1" x14ac:dyDescent="0.25"/>
    <row r="50" ht="20.149999999999999" customHeight="1" x14ac:dyDescent="0.25"/>
    <row r="51" ht="20.149999999999999" customHeight="1" x14ac:dyDescent="0.25"/>
    <row r="52" ht="20.149999999999999" customHeight="1" x14ac:dyDescent="0.25"/>
    <row r="53" ht="20.149999999999999" customHeight="1" x14ac:dyDescent="0.25"/>
    <row r="54" ht="20.149999999999999" customHeight="1" x14ac:dyDescent="0.25"/>
    <row r="55" ht="20.149999999999999" customHeight="1" x14ac:dyDescent="0.25"/>
    <row r="56" ht="20.149999999999999" customHeight="1" x14ac:dyDescent="0.25"/>
    <row r="57" ht="20.149999999999999" customHeight="1" x14ac:dyDescent="0.25"/>
    <row r="58" ht="20.149999999999999" customHeight="1" x14ac:dyDescent="0.25"/>
    <row r="59" ht="20.149999999999999" customHeight="1" x14ac:dyDescent="0.25"/>
    <row r="60" ht="20.149999999999999" customHeight="1" x14ac:dyDescent="0.25"/>
    <row r="61" ht="20.149999999999999" customHeight="1" x14ac:dyDescent="0.25"/>
    <row r="62" ht="20.149999999999999" customHeight="1" x14ac:dyDescent="0.25"/>
    <row r="63" ht="20.149999999999999" customHeight="1" x14ac:dyDescent="0.25"/>
  </sheetData>
  <sheetProtection sheet="1" objects="1" scenarios="1"/>
  <mergeCells count="2">
    <mergeCell ref="A4:F4"/>
    <mergeCell ref="C19:F19"/>
  </mergeCells>
  <printOptions horizontalCentered="1"/>
  <pageMargins left="0.19685039370078741" right="0.19685039370078741" top="1.1811023622047245" bottom="0.39370078740157483" header="0.19685039370078741" footer="0.19685039370078741"/>
  <pageSetup paperSize="9" scale="86" orientation="portrait" blackAndWhite="1" horizontalDpi="4294967293" r:id="rId1"/>
  <headerFooter alignWithMargins="0">
    <oddHeader>&amp;C&amp;G</oddHeader>
    <oddFooter>&amp;L&amp;8Stand: Juli 2018&amp;R&amp;8&amp;D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Daten!$A$63:$A$73</xm:f>
          </x14:formula1>
          <xm:sqref>C19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tabColor rgb="FF00B0F0"/>
  </sheetPr>
  <dimension ref="A1:CW88"/>
  <sheetViews>
    <sheetView zoomScaleNormal="100" zoomScaleSheetLayoutView="100" workbookViewId="0">
      <selection activeCell="D26" sqref="D26"/>
    </sheetView>
  </sheetViews>
  <sheetFormatPr baseColWidth="10" defaultColWidth="11.453125" defaultRowHeight="12.5" x14ac:dyDescent="0.25"/>
  <cols>
    <col min="1" max="1" width="42.7265625" style="2" customWidth="1"/>
    <col min="2" max="2" width="28.7265625" style="2" customWidth="1"/>
    <col min="3" max="3" width="2.26953125" style="2" customWidth="1"/>
    <col min="4" max="4" width="32.7265625" style="11" customWidth="1"/>
    <col min="5" max="5" width="10.7265625" style="2" customWidth="1"/>
    <col min="6" max="6" width="2.7265625" style="8" customWidth="1"/>
    <col min="7" max="7" width="34.1796875" style="8" hidden="1" customWidth="1"/>
    <col min="8" max="8" width="7.26953125" style="2" hidden="1" customWidth="1"/>
    <col min="9" max="9" width="2.7265625" style="2" hidden="1" customWidth="1"/>
    <col min="10" max="10" width="19.453125" style="2" hidden="1" customWidth="1"/>
    <col min="11" max="11" width="9.453125" style="2" hidden="1" customWidth="1"/>
    <col min="12" max="12" width="2.7265625" style="2" hidden="1" customWidth="1"/>
    <col min="13" max="13" width="21.54296875" style="2" hidden="1" customWidth="1"/>
    <col min="14" max="25" width="11.453125" style="2" hidden="1" customWidth="1"/>
    <col min="26" max="34" width="15.54296875" style="2" hidden="1" customWidth="1"/>
    <col min="35" max="35" width="20.7265625" style="2" hidden="1" customWidth="1"/>
    <col min="36" max="36" width="25.81640625" style="2" hidden="1" customWidth="1"/>
    <col min="37" max="37" width="7.26953125" style="2" hidden="1" customWidth="1"/>
    <col min="38" max="38" width="2.7265625" style="2" hidden="1" customWidth="1"/>
    <col min="39" max="39" width="19.453125" style="2" hidden="1" customWidth="1"/>
    <col min="40" max="40" width="9.453125" style="2" hidden="1" customWidth="1"/>
    <col min="41" max="41" width="2.7265625" style="2" hidden="1" customWidth="1"/>
    <col min="42" max="42" width="21.54296875" style="2" hidden="1" customWidth="1"/>
    <col min="43" max="43" width="19" style="2" hidden="1" customWidth="1"/>
    <col min="44" max="44" width="8.54296875" style="2" hidden="1" customWidth="1"/>
    <col min="45" max="45" width="7.81640625" style="2" hidden="1" customWidth="1"/>
    <col min="46" max="46" width="7.7265625" style="2" hidden="1" customWidth="1"/>
    <col min="47" max="47" width="6.7265625" style="2" hidden="1" customWidth="1"/>
    <col min="48" max="48" width="7.7265625" style="2" hidden="1" customWidth="1"/>
    <col min="49" max="49" width="6.7265625" style="2" hidden="1" customWidth="1"/>
    <col min="50" max="50" width="7.7265625" style="2" hidden="1" customWidth="1"/>
    <col min="51" max="51" width="6.7265625" style="2" hidden="1" customWidth="1"/>
    <col min="52" max="52" width="8" style="2" hidden="1" customWidth="1"/>
    <col min="53" max="53" width="6.7265625" style="2" hidden="1" customWidth="1"/>
    <col min="54" max="54" width="7.7265625" style="2" hidden="1" customWidth="1"/>
    <col min="55" max="57" width="6.7265625" style="2" hidden="1" customWidth="1"/>
    <col min="58" max="58" width="7.7265625" style="2" hidden="1" customWidth="1"/>
    <col min="59" max="59" width="6.7265625" style="2" hidden="1" customWidth="1"/>
    <col min="60" max="60" width="7.7265625" style="2" hidden="1" customWidth="1"/>
    <col min="61" max="63" width="6.7265625" style="2" hidden="1" customWidth="1"/>
    <col min="64" max="64" width="20.7265625" style="2" hidden="1" customWidth="1"/>
    <col min="65" max="65" width="35.81640625" style="2" hidden="1" customWidth="1"/>
    <col min="66" max="66" width="12.26953125" style="2" hidden="1" customWidth="1"/>
    <col min="67" max="67" width="2.7265625" style="2" hidden="1" customWidth="1"/>
    <col min="68" max="68" width="19.453125" style="2" hidden="1" customWidth="1"/>
    <col min="69" max="69" width="9.453125" style="2" hidden="1" customWidth="1"/>
    <col min="70" max="70" width="2.7265625" style="2" hidden="1" customWidth="1"/>
    <col min="71" max="71" width="21.54296875" style="2" hidden="1" customWidth="1"/>
    <col min="72" max="101" width="11.453125" style="2" hidden="1" customWidth="1"/>
    <col min="102" max="105" width="11.453125" style="2" customWidth="1"/>
    <col min="106" max="16384" width="11.453125" style="2"/>
  </cols>
  <sheetData>
    <row r="1" spans="1:92" ht="20.149999999999999" customHeight="1" thickBot="1" x14ac:dyDescent="0.3">
      <c r="B1" s="3" t="s">
        <v>44</v>
      </c>
      <c r="C1" s="4"/>
      <c r="D1" s="22">
        <f>'Ermittlung Schneelast'!D6</f>
        <v>0</v>
      </c>
      <c r="E1" s="27"/>
      <c r="F1" s="22"/>
      <c r="G1" s="763" t="s">
        <v>216</v>
      </c>
      <c r="H1" s="764"/>
      <c r="I1" s="21"/>
      <c r="J1" s="160" t="s">
        <v>168</v>
      </c>
      <c r="K1" s="160" t="s">
        <v>169</v>
      </c>
      <c r="L1" s="21"/>
      <c r="M1" s="656" t="s">
        <v>172</v>
      </c>
      <c r="N1" s="165">
        <v>0.5</v>
      </c>
      <c r="O1" s="165">
        <f>IF(AND($D$12&gt;0.5,$D$12&lt;0.6),$D$12,0)</f>
        <v>0</v>
      </c>
      <c r="P1" s="165">
        <v>0.6</v>
      </c>
      <c r="Q1" s="165">
        <f>IF(AND($D$12&gt;0.6,$D$12&lt;0.7),$D$12,0)</f>
        <v>0</v>
      </c>
      <c r="R1" s="165">
        <v>0.7</v>
      </c>
      <c r="S1" s="165">
        <f>IF(AND($D$12&gt;0.7,$D$12&lt;0.8),$D$12,0)</f>
        <v>0</v>
      </c>
      <c r="T1" s="165">
        <v>0.8</v>
      </c>
      <c r="U1" s="165">
        <f>IF(AND($D$12&gt;0.8,$D$12&lt;0.9),$D$12,0)</f>
        <v>0.85</v>
      </c>
      <c r="V1" s="165">
        <v>0.9</v>
      </c>
      <c r="W1" s="165">
        <f>IF(AND($D$12&gt;0.9,$D$12&lt;1),$D$12,0)</f>
        <v>0</v>
      </c>
      <c r="X1" s="165">
        <v>1</v>
      </c>
      <c r="Y1" s="165">
        <f>IF(AND($D$12&gt;1,$D$12&lt;1.1),$D$12,0)</f>
        <v>0</v>
      </c>
      <c r="Z1" s="166">
        <v>1.1000000000000001</v>
      </c>
      <c r="AA1" s="23"/>
      <c r="AB1" s="23"/>
      <c r="AC1" s="23"/>
      <c r="AD1" s="23"/>
      <c r="AE1" s="23"/>
      <c r="AF1" s="23"/>
      <c r="AG1" s="23"/>
      <c r="AH1" s="23"/>
      <c r="AJ1" s="178" t="s">
        <v>173</v>
      </c>
      <c r="AK1" s="179"/>
      <c r="AL1" s="21"/>
      <c r="AM1" s="160" t="s">
        <v>174</v>
      </c>
      <c r="AN1" s="160" t="s">
        <v>175</v>
      </c>
      <c r="AO1" s="21"/>
      <c r="AP1" s="656" t="s">
        <v>176</v>
      </c>
      <c r="AQ1" s="165">
        <v>0.5</v>
      </c>
      <c r="AR1" s="165">
        <f>IF(AND($D$12&gt;0.5,$D$12&lt;0.6),$D$12,0)</f>
        <v>0</v>
      </c>
      <c r="AS1" s="165">
        <v>0.6</v>
      </c>
      <c r="AT1" s="165">
        <f>IF(AND($D$12&gt;0.6,$D$12&lt;0.7),$D$12,0)</f>
        <v>0</v>
      </c>
      <c r="AU1" s="165">
        <v>0.7</v>
      </c>
      <c r="AV1" s="165">
        <f>IF(AND($D$12&gt;0.7,$D$12&lt;0.8),$D$12,0)</f>
        <v>0</v>
      </c>
      <c r="AW1" s="165">
        <v>0.8</v>
      </c>
      <c r="AX1" s="165">
        <f>IF(AND($D$12&gt;0.8,$D$12&lt;0.9),$D$12,0)</f>
        <v>0.85</v>
      </c>
      <c r="AY1" s="165">
        <v>0.9</v>
      </c>
      <c r="AZ1" s="165">
        <f>IF(AND($D$12&gt;0.9,$D$12&lt;1),$D$12,0)</f>
        <v>0</v>
      </c>
      <c r="BA1" s="165">
        <v>1</v>
      </c>
      <c r="BB1" s="165">
        <f>IF(AND($D$12&gt;1,$D$12&lt;1.1),$D$12,0)</f>
        <v>0</v>
      </c>
      <c r="BC1" s="166">
        <v>1.1000000000000001</v>
      </c>
      <c r="BD1" s="23"/>
      <c r="BE1" s="23"/>
      <c r="BF1" s="23"/>
      <c r="BG1" s="23"/>
      <c r="BH1" s="23"/>
      <c r="BI1" s="23"/>
      <c r="BJ1" s="23"/>
      <c r="BK1" s="23"/>
      <c r="BM1" s="178" t="s">
        <v>182</v>
      </c>
      <c r="BN1" s="179"/>
      <c r="BO1" s="21"/>
      <c r="BP1" s="160" t="s">
        <v>190</v>
      </c>
      <c r="BQ1" s="160" t="s">
        <v>183</v>
      </c>
      <c r="BR1" s="21"/>
      <c r="BS1" s="656" t="s">
        <v>184</v>
      </c>
      <c r="BT1" s="165">
        <v>0.5</v>
      </c>
      <c r="BU1" s="165">
        <f>IF(AND($D$12&gt;0.5,$D$12&lt;0.6),$D$12,0)</f>
        <v>0</v>
      </c>
      <c r="BV1" s="165">
        <v>0.6</v>
      </c>
      <c r="BW1" s="165">
        <f>IF(AND($D$12&gt;0.6,$D$12&lt;0.7),$D$12,0)</f>
        <v>0</v>
      </c>
      <c r="BX1" s="165">
        <v>0.7</v>
      </c>
      <c r="BY1" s="165">
        <f>IF(AND($D$12&gt;0.7,$D$12&lt;0.8),$D$12,0)</f>
        <v>0</v>
      </c>
      <c r="BZ1" s="165">
        <v>0.8</v>
      </c>
      <c r="CA1" s="165">
        <f>IF(AND($D$12&gt;0.8,$D$12&lt;0.9),$D$12,0)</f>
        <v>0.85</v>
      </c>
      <c r="CB1" s="165">
        <v>0.9</v>
      </c>
      <c r="CC1" s="165">
        <f>IF(AND($D$12&gt;0.9,$D$12&lt;1),$D$12,0)</f>
        <v>0</v>
      </c>
      <c r="CD1" s="165">
        <v>1</v>
      </c>
      <c r="CE1" s="165">
        <f>IF(AND($D$12&gt;1,$D$12&lt;1.1),$D$12,0)</f>
        <v>0</v>
      </c>
      <c r="CF1" s="166">
        <v>1.1000000000000001</v>
      </c>
      <c r="CG1" s="23"/>
      <c r="CH1" s="23"/>
      <c r="CI1" s="23"/>
      <c r="CJ1" s="23"/>
      <c r="CK1" s="23"/>
      <c r="CL1" s="23"/>
      <c r="CM1" s="23"/>
      <c r="CN1" s="23"/>
    </row>
    <row r="2" spans="1:92" ht="20.149999999999999" customHeight="1" x14ac:dyDescent="0.25">
      <c r="B2" s="3" t="s">
        <v>45</v>
      </c>
      <c r="C2" s="4"/>
      <c r="D2" s="22">
        <f>'Ermittlung Schneelast'!D7</f>
        <v>0</v>
      </c>
      <c r="E2" s="27"/>
      <c r="F2" s="22"/>
      <c r="G2" s="155" t="s">
        <v>164</v>
      </c>
      <c r="H2" s="515">
        <f>VLOOKUP($D$5,Daten!$F$38:$G$43,2)</f>
        <v>1</v>
      </c>
      <c r="I2" s="10"/>
      <c r="J2" s="161">
        <v>0.52</v>
      </c>
      <c r="K2" s="162">
        <v>1.1200000000000001</v>
      </c>
      <c r="L2" s="10"/>
      <c r="M2" s="623" t="s">
        <v>127</v>
      </c>
      <c r="N2" s="168">
        <v>3.45</v>
      </c>
      <c r="O2" s="169">
        <f t="shared" ref="O2:O9" si="0">N2-(N2-P2)*($O$1-$N$1)/($P$1-$N$1)</f>
        <v>4.4500000000000011</v>
      </c>
      <c r="P2" s="170">
        <v>3.25</v>
      </c>
      <c r="Q2" s="169">
        <f t="shared" ref="Q2:Q9" si="1">P2-(P2-R2)*($Q$1-$P$1)/($R$1-$P$1)</f>
        <v>4.1499999999999995</v>
      </c>
      <c r="R2" s="170">
        <v>3.1</v>
      </c>
      <c r="S2" s="169">
        <f t="shared" ref="S2:S9" si="2">R2-(R2-T2)*($S$1-$R$1)/($T$1-$R$1)</f>
        <v>4.08</v>
      </c>
      <c r="T2" s="170">
        <v>2.96</v>
      </c>
      <c r="U2" s="169">
        <f t="shared" ref="U2:U9" si="3">T2-(T2-V2)*($U$1-$T$1)/($V$1-$T$1)</f>
        <v>2.9050000000000002</v>
      </c>
      <c r="V2" s="170">
        <v>2.85</v>
      </c>
      <c r="W2" s="169">
        <f t="shared" ref="W2:W9" si="4">V2-(V2-X2)*($W$1-$V$1)/($X$1-$V$1)</f>
        <v>3.7500000000000009</v>
      </c>
      <c r="X2" s="170">
        <v>2.75</v>
      </c>
      <c r="Y2" s="169">
        <f t="shared" ref="Y2:Y9" si="5">X2-(X2-Z2)*($Y$1-$X$1)/($Z$1-$X$1)</f>
        <v>3.55</v>
      </c>
      <c r="Z2" s="170">
        <v>2.67</v>
      </c>
      <c r="AA2" s="23"/>
      <c r="AB2" s="23"/>
      <c r="AC2" s="23"/>
      <c r="AD2" s="23"/>
      <c r="AE2" s="23"/>
      <c r="AF2" s="23"/>
      <c r="AG2" s="23"/>
      <c r="AH2" s="23"/>
      <c r="AJ2" s="155" t="s">
        <v>177</v>
      </c>
      <c r="AK2" s="515">
        <f>VLOOKUP($D$5,Daten!$F$38:$G$43,2)</f>
        <v>1</v>
      </c>
      <c r="AL2" s="10"/>
      <c r="AM2" s="161">
        <v>0.52</v>
      </c>
      <c r="AN2" s="162">
        <v>1.2</v>
      </c>
      <c r="AO2" s="10"/>
      <c r="AP2" s="623" t="s">
        <v>127</v>
      </c>
      <c r="AQ2" s="168">
        <v>3.9</v>
      </c>
      <c r="AR2" s="169">
        <f t="shared" ref="AR2:AR9" si="6">AQ2-(AQ2-AS2)*($O$1-$N$1)/($P$1-$N$1)</f>
        <v>5.5</v>
      </c>
      <c r="AS2" s="170">
        <v>3.58</v>
      </c>
      <c r="AT2" s="169">
        <f t="shared" ref="AT2:AT9" si="7">AS2-(AS2-AU2)*($Q$1-$P$1)/($R$1-$P$1)</f>
        <v>5.1400000000000023</v>
      </c>
      <c r="AU2" s="170">
        <v>3.32</v>
      </c>
      <c r="AV2" s="169">
        <f t="shared" ref="AV2:AV9" si="8">AU2-(AU2-AW2)*($S$1-$R$1)/($T$1-$R$1)</f>
        <v>4.7899999999999983</v>
      </c>
      <c r="AW2" s="170">
        <v>3.11</v>
      </c>
      <c r="AX2" s="169">
        <f t="shared" ref="AX2:AX9" si="9">AW2-(AW2-AY2)*($U$1-$T$1)/($V$1-$T$1)</f>
        <v>3.02</v>
      </c>
      <c r="AY2" s="170">
        <v>2.93</v>
      </c>
      <c r="AZ2" s="169">
        <f t="shared" ref="AZ2:AZ9" si="10">AY2-(AY2-BA2)*($W$1-$V$1)/($X$1-$V$1)</f>
        <v>4.2800000000000038</v>
      </c>
      <c r="BA2" s="170">
        <v>2.78</v>
      </c>
      <c r="BB2" s="169">
        <f>BA2-(BA2-BC2)*($Y$1-$X$1)/($Z$1-$X$1)</f>
        <v>4.0799999999999974</v>
      </c>
      <c r="BC2" s="170">
        <v>2.65</v>
      </c>
      <c r="BD2" s="23"/>
      <c r="BE2" s="23"/>
      <c r="BF2" s="23"/>
      <c r="BG2" s="23"/>
      <c r="BH2" s="23"/>
      <c r="BI2" s="23"/>
      <c r="BJ2" s="23"/>
      <c r="BK2" s="23"/>
      <c r="BM2" s="155" t="s">
        <v>185</v>
      </c>
      <c r="BN2" s="515">
        <f>VLOOKUP($D$5,Daten!$F$38:$G$43,2)</f>
        <v>1</v>
      </c>
      <c r="BO2" s="10"/>
      <c r="BP2" s="653">
        <v>1.196</v>
      </c>
      <c r="BQ2" s="162">
        <v>1.0900000000000001</v>
      </c>
      <c r="BR2" s="10"/>
      <c r="BS2" s="623" t="s">
        <v>127</v>
      </c>
      <c r="BT2" s="168">
        <v>4.4400000000000004</v>
      </c>
      <c r="BU2" s="169">
        <f t="shared" ref="BU2:BU9" si="11">BT2-(BT2-BV2)*($O$1-$N$1)/($P$1-$N$1)</f>
        <v>6.2900000000000009</v>
      </c>
      <c r="BV2" s="170">
        <v>4.07</v>
      </c>
      <c r="BW2" s="169">
        <f t="shared" ref="BW2:BW9" si="12">BV2-(BV2-BX2)*($Q$1-$P$1)/($R$1-$P$1)</f>
        <v>5.8700000000000028</v>
      </c>
      <c r="BX2" s="170">
        <v>3.77</v>
      </c>
      <c r="BY2" s="169">
        <f t="shared" ref="BY2:BY9" si="13">BX2-(BX2-BZ2)*($S$1-$R$1)/($T$1-$R$1)</f>
        <v>5.45</v>
      </c>
      <c r="BZ2" s="170">
        <v>3.53</v>
      </c>
      <c r="CA2" s="169">
        <f t="shared" ref="CA2:CA9" si="14">BZ2-(BZ2-CB2)*($U$1-$T$1)/($V$1-$T$1)</f>
        <v>3.43</v>
      </c>
      <c r="CB2" s="170">
        <v>3.33</v>
      </c>
      <c r="CC2" s="169">
        <f t="shared" ref="CC2:CC9" si="15">CB2-(CB2-CD2)*($W$1-$V$1)/($X$1-$V$1)</f>
        <v>4.8599999999999994</v>
      </c>
      <c r="CD2" s="170">
        <v>3.16</v>
      </c>
      <c r="CE2" s="169">
        <f t="shared" ref="CE2:CE9" si="16">CD2-(CD2-CF2)*($Y$1-$X$1)/($Z$1-$X$1)</f>
        <v>4.5600000000000005</v>
      </c>
      <c r="CF2" s="170">
        <v>3.02</v>
      </c>
      <c r="CG2" s="23"/>
      <c r="CH2" s="23"/>
      <c r="CI2" s="23"/>
      <c r="CJ2" s="23"/>
      <c r="CK2" s="23"/>
      <c r="CL2" s="23"/>
      <c r="CM2" s="23"/>
      <c r="CN2" s="23"/>
    </row>
    <row r="3" spans="1:92" ht="20.149999999999999" customHeight="1" thickBot="1" x14ac:dyDescent="0.3">
      <c r="D3" s="25"/>
      <c r="E3" s="21"/>
      <c r="F3" s="20"/>
      <c r="G3" s="156" t="s">
        <v>163</v>
      </c>
      <c r="H3" s="490">
        <f>VLOOKUP(D6,J2:K14,2)</f>
        <v>0.98199999999999998</v>
      </c>
      <c r="I3" s="10"/>
      <c r="J3" s="161" t="str">
        <f>IF(AND($D$6&gt;J2,$D$6&lt;J4),$D$6,"nicht interpolieren")</f>
        <v>nicht interpolieren</v>
      </c>
      <c r="K3" s="162" t="e">
        <f>K2-(K2-K4)*(J3-J2)/(J4-J2)</f>
        <v>#VALUE!</v>
      </c>
      <c r="L3" s="10"/>
      <c r="M3" s="171" t="s">
        <v>128</v>
      </c>
      <c r="N3" s="172">
        <v>4.84</v>
      </c>
      <c r="O3" s="169">
        <f t="shared" si="0"/>
        <v>6.1399999999999988</v>
      </c>
      <c r="P3" s="169">
        <v>4.58</v>
      </c>
      <c r="Q3" s="169">
        <f t="shared" si="1"/>
        <v>5.7800000000000011</v>
      </c>
      <c r="R3" s="169">
        <v>4.38</v>
      </c>
      <c r="S3" s="169">
        <f t="shared" si="2"/>
        <v>5.639999999999997</v>
      </c>
      <c r="T3" s="169">
        <v>4.2</v>
      </c>
      <c r="U3" s="169">
        <f t="shared" si="3"/>
        <v>4.125</v>
      </c>
      <c r="V3" s="169">
        <v>4.05</v>
      </c>
      <c r="W3" s="169">
        <f t="shared" si="4"/>
        <v>5.2199999999999989</v>
      </c>
      <c r="X3" s="169">
        <v>3.92</v>
      </c>
      <c r="Y3" s="169">
        <f t="shared" si="5"/>
        <v>5.0199999999999978</v>
      </c>
      <c r="Z3" s="169">
        <v>3.81</v>
      </c>
      <c r="AA3" s="23"/>
      <c r="AB3" s="23"/>
      <c r="AC3" s="23"/>
      <c r="AD3" s="23"/>
      <c r="AE3" s="23"/>
      <c r="AF3" s="23"/>
      <c r="AG3" s="23"/>
      <c r="AH3" s="23"/>
      <c r="AJ3" s="156" t="s">
        <v>178</v>
      </c>
      <c r="AK3" s="490">
        <f>VLOOKUP(D6,AM2:AN17,2)</f>
        <v>0.97399999999999998</v>
      </c>
      <c r="AL3" s="10"/>
      <c r="AM3" s="161" t="str">
        <f>IF(AND($D$6&gt;AM2,$D$6&lt;AM4),$D$6,"nicht interpolieren")</f>
        <v>nicht interpolieren</v>
      </c>
      <c r="AN3" s="162" t="e">
        <f>AN2-(AN2-AN4)*(AM3-AM2)/(AM4-AM2)</f>
        <v>#VALUE!</v>
      </c>
      <c r="AO3" s="10"/>
      <c r="AP3" s="171" t="s">
        <v>128</v>
      </c>
      <c r="AQ3" s="172">
        <v>6.06</v>
      </c>
      <c r="AR3" s="169">
        <f t="shared" si="6"/>
        <v>8.4599999999999973</v>
      </c>
      <c r="AS3" s="169">
        <v>5.58</v>
      </c>
      <c r="AT3" s="169">
        <f t="shared" si="7"/>
        <v>7.8599999999999994</v>
      </c>
      <c r="AU3" s="169">
        <v>5.2</v>
      </c>
      <c r="AV3" s="169">
        <f t="shared" si="8"/>
        <v>7.370000000000001</v>
      </c>
      <c r="AW3" s="169">
        <v>4.8899999999999997</v>
      </c>
      <c r="AX3" s="169">
        <f t="shared" si="9"/>
        <v>4.76</v>
      </c>
      <c r="AY3" s="169">
        <v>4.63</v>
      </c>
      <c r="AZ3" s="169">
        <f t="shared" si="10"/>
        <v>6.6099999999999977</v>
      </c>
      <c r="BA3" s="169">
        <v>4.41</v>
      </c>
      <c r="BB3" s="169">
        <f t="shared" ref="BB3:BB9" si="17">BA3-(BA3-BC3)*($Y$1-$X$1)/($Z$1-$X$1)</f>
        <v>6.41</v>
      </c>
      <c r="BC3" s="169">
        <v>4.21</v>
      </c>
      <c r="BD3" s="23"/>
      <c r="BE3" s="23"/>
      <c r="BF3" s="23"/>
      <c r="BG3" s="23"/>
      <c r="BH3" s="23"/>
      <c r="BI3" s="23"/>
      <c r="BJ3" s="23"/>
      <c r="BK3" s="23"/>
      <c r="BM3" s="181" t="s">
        <v>189</v>
      </c>
      <c r="BN3" s="490">
        <f>IF('Ermittlung Schneelast'!D17="nein",10000,VLOOKUP(D7,BP2:BQ15,2))</f>
        <v>10000</v>
      </c>
      <c r="BO3" s="10"/>
      <c r="BP3" s="161" t="str">
        <f>IF(AND($D$7&gt;BP2,$D$7&lt;BP4),$D$7,"nicht interpolieren")</f>
        <v>nicht interpolieren</v>
      </c>
      <c r="BQ3" s="162" t="e">
        <f>BQ2-(BQ2-BQ4)*(BP3-BP2)/(BP4-BP2)</f>
        <v>#VALUE!</v>
      </c>
      <c r="BR3" s="10"/>
      <c r="BS3" s="171" t="s">
        <v>128</v>
      </c>
      <c r="BT3" s="172">
        <v>6.87</v>
      </c>
      <c r="BU3" s="169">
        <f t="shared" si="11"/>
        <v>9.42</v>
      </c>
      <c r="BV3" s="169">
        <v>6.36</v>
      </c>
      <c r="BW3" s="169">
        <f t="shared" si="12"/>
        <v>9.0000000000000036</v>
      </c>
      <c r="BX3" s="169">
        <v>5.92</v>
      </c>
      <c r="BY3" s="169">
        <f t="shared" si="13"/>
        <v>8.3699999999999957</v>
      </c>
      <c r="BZ3" s="169">
        <v>5.57</v>
      </c>
      <c r="CA3" s="169">
        <f t="shared" si="14"/>
        <v>5.42</v>
      </c>
      <c r="CB3" s="169">
        <v>5.27</v>
      </c>
      <c r="CC3" s="169">
        <f t="shared" si="15"/>
        <v>7.6099999999999977</v>
      </c>
      <c r="CD3" s="169">
        <v>5.01</v>
      </c>
      <c r="CE3" s="169">
        <f t="shared" si="16"/>
        <v>7.2099999999999955</v>
      </c>
      <c r="CF3" s="169">
        <v>4.79</v>
      </c>
      <c r="CG3" s="23"/>
      <c r="CH3" s="23"/>
      <c r="CI3" s="23"/>
      <c r="CJ3" s="23"/>
      <c r="CK3" s="23"/>
      <c r="CL3" s="23"/>
      <c r="CM3" s="23"/>
      <c r="CN3" s="23"/>
    </row>
    <row r="4" spans="1:92" ht="20.149999999999999" customHeight="1" x14ac:dyDescent="0.25">
      <c r="B4" s="228" t="s">
        <v>99</v>
      </c>
      <c r="C4" s="229"/>
      <c r="D4" s="230"/>
      <c r="E4" s="231"/>
      <c r="F4" s="20"/>
      <c r="G4" s="156" t="s">
        <v>165</v>
      </c>
      <c r="H4" s="490">
        <f>VLOOKUP($D$8,Daten!$A$50:$B$57,2)</f>
        <v>1</v>
      </c>
      <c r="I4" s="10"/>
      <c r="J4" s="161">
        <v>0.75</v>
      </c>
      <c r="K4" s="162">
        <v>1.06</v>
      </c>
      <c r="L4" s="10"/>
      <c r="M4" s="167" t="s">
        <v>454</v>
      </c>
      <c r="N4" s="168">
        <v>4.08</v>
      </c>
      <c r="O4" s="169">
        <f t="shared" si="0"/>
        <v>5.23</v>
      </c>
      <c r="P4" s="170">
        <v>3.85</v>
      </c>
      <c r="Q4" s="169">
        <f t="shared" si="1"/>
        <v>4.9300000000000015</v>
      </c>
      <c r="R4" s="170">
        <v>3.67</v>
      </c>
      <c r="S4" s="169">
        <f t="shared" si="2"/>
        <v>4.79</v>
      </c>
      <c r="T4" s="170">
        <v>3.51</v>
      </c>
      <c r="U4" s="169">
        <f t="shared" si="3"/>
        <v>3.4449999999999998</v>
      </c>
      <c r="V4" s="170">
        <v>3.38</v>
      </c>
      <c r="W4" s="169">
        <f t="shared" si="4"/>
        <v>4.4600000000000009</v>
      </c>
      <c r="X4" s="170">
        <v>3.26</v>
      </c>
      <c r="Y4" s="169">
        <f t="shared" si="5"/>
        <v>4.2599999999999953</v>
      </c>
      <c r="Z4" s="170">
        <v>3.16</v>
      </c>
      <c r="AA4" s="23"/>
      <c r="AB4" s="23"/>
      <c r="AC4" s="23"/>
      <c r="AD4" s="23"/>
      <c r="AE4" s="23"/>
      <c r="AF4" s="23"/>
      <c r="AG4" s="23"/>
      <c r="AH4" s="23"/>
      <c r="AJ4" s="156" t="s">
        <v>179</v>
      </c>
      <c r="AK4" s="490">
        <f>VLOOKUP($D$8,Daten!$A$50:$C$57,3)</f>
        <v>1</v>
      </c>
      <c r="AL4" s="10"/>
      <c r="AM4" s="161">
        <v>0.75</v>
      </c>
      <c r="AN4" s="162">
        <v>1.0900000000000001</v>
      </c>
      <c r="AO4" s="10"/>
      <c r="AP4" s="167" t="s">
        <v>454</v>
      </c>
      <c r="AQ4" s="168">
        <v>5.37</v>
      </c>
      <c r="AR4" s="169">
        <f t="shared" si="6"/>
        <v>7.620000000000001</v>
      </c>
      <c r="AS4" s="170">
        <v>4.92</v>
      </c>
      <c r="AT4" s="169">
        <f t="shared" si="7"/>
        <v>7.0800000000000018</v>
      </c>
      <c r="AU4" s="170">
        <v>4.5599999999999996</v>
      </c>
      <c r="AV4" s="169">
        <f t="shared" si="8"/>
        <v>6.5199999999999934</v>
      </c>
      <c r="AW4" s="170">
        <v>4.28</v>
      </c>
      <c r="AX4" s="169">
        <f t="shared" si="9"/>
        <v>4.16</v>
      </c>
      <c r="AY4" s="170">
        <v>4.04</v>
      </c>
      <c r="AZ4" s="169">
        <f t="shared" si="10"/>
        <v>5.93</v>
      </c>
      <c r="BA4" s="170">
        <v>3.83</v>
      </c>
      <c r="BB4" s="169">
        <f t="shared" si="17"/>
        <v>5.5299999999999976</v>
      </c>
      <c r="BC4" s="170">
        <v>3.66</v>
      </c>
      <c r="BD4" s="23"/>
      <c r="BE4" s="23"/>
      <c r="BF4" s="23"/>
      <c r="BG4" s="23"/>
      <c r="BH4" s="23"/>
      <c r="BI4" s="23"/>
      <c r="BJ4" s="23"/>
      <c r="BK4" s="23"/>
      <c r="BM4" s="156" t="s">
        <v>186</v>
      </c>
      <c r="BN4" s="490">
        <v>1</v>
      </c>
      <c r="BO4" s="10"/>
      <c r="BP4" s="161">
        <v>1.5</v>
      </c>
      <c r="BQ4" s="162">
        <v>1</v>
      </c>
      <c r="BR4" s="10"/>
      <c r="BS4" s="167" t="s">
        <v>454</v>
      </c>
      <c r="BT4" s="168">
        <v>6.11</v>
      </c>
      <c r="BU4" s="169">
        <f t="shared" si="11"/>
        <v>8.7100000000000026</v>
      </c>
      <c r="BV4" s="170">
        <v>5.59</v>
      </c>
      <c r="BW4" s="169">
        <f t="shared" si="12"/>
        <v>7.9899999999999967</v>
      </c>
      <c r="BX4" s="170">
        <v>5.19</v>
      </c>
      <c r="BY4" s="169">
        <f t="shared" si="13"/>
        <v>7.4999999999999982</v>
      </c>
      <c r="BZ4" s="170">
        <v>4.8600000000000003</v>
      </c>
      <c r="CA4" s="169">
        <f t="shared" si="14"/>
        <v>4.7250000000000005</v>
      </c>
      <c r="CB4" s="170">
        <v>4.59</v>
      </c>
      <c r="CC4" s="169">
        <f t="shared" si="15"/>
        <v>6.6599999999999966</v>
      </c>
      <c r="CD4" s="170">
        <v>4.3600000000000003</v>
      </c>
      <c r="CE4" s="169">
        <f t="shared" si="16"/>
        <v>6.36</v>
      </c>
      <c r="CF4" s="170">
        <v>4.16</v>
      </c>
      <c r="CG4" s="23"/>
      <c r="CH4" s="23"/>
      <c r="CI4" s="23"/>
      <c r="CJ4" s="23"/>
      <c r="CK4" s="23"/>
      <c r="CL4" s="23"/>
      <c r="CM4" s="23"/>
      <c r="CN4" s="23"/>
    </row>
    <row r="5" spans="1:92" ht="20.149999999999999" customHeight="1" x14ac:dyDescent="0.25">
      <c r="B5" s="254" t="s">
        <v>8</v>
      </c>
      <c r="C5" s="232" t="s">
        <v>0</v>
      </c>
      <c r="D5" s="667" t="s">
        <v>6</v>
      </c>
      <c r="E5" s="233"/>
      <c r="F5" s="20"/>
      <c r="G5" s="157" t="s">
        <v>166</v>
      </c>
      <c r="H5" s="494">
        <f>VLOOKUP($D$9,J17:K22,2)</f>
        <v>1</v>
      </c>
      <c r="I5" s="108"/>
      <c r="J5" s="161" t="str">
        <f>IF(AND($D$6&gt;J4,$D$6&lt;J6),$D$6,"nicht interpolieren")</f>
        <v>nicht interpolieren</v>
      </c>
      <c r="K5" s="162" t="e">
        <f>K4-(K4-K6)*(J5-J4)/(J6-J4)</f>
        <v>#VALUE!</v>
      </c>
      <c r="L5" s="108"/>
      <c r="M5" s="171" t="s">
        <v>455</v>
      </c>
      <c r="N5" s="172">
        <v>4.68</v>
      </c>
      <c r="O5" s="169">
        <f t="shared" si="0"/>
        <v>5.93</v>
      </c>
      <c r="P5" s="169">
        <v>4.43</v>
      </c>
      <c r="Q5" s="169">
        <f t="shared" si="1"/>
        <v>5.6299999999999955</v>
      </c>
      <c r="R5" s="169">
        <v>4.2300000000000004</v>
      </c>
      <c r="S5" s="169">
        <f t="shared" si="2"/>
        <v>5.4200000000000053</v>
      </c>
      <c r="T5" s="169">
        <v>4.0599999999999996</v>
      </c>
      <c r="U5" s="169">
        <f t="shared" si="3"/>
        <v>3.9849999999999999</v>
      </c>
      <c r="V5" s="169">
        <v>3.91</v>
      </c>
      <c r="W5" s="169">
        <f t="shared" si="4"/>
        <v>5.0800000000000036</v>
      </c>
      <c r="X5" s="169">
        <v>3.78</v>
      </c>
      <c r="Y5" s="169">
        <f t="shared" si="5"/>
        <v>4.8799999999999972</v>
      </c>
      <c r="Z5" s="169">
        <v>3.67</v>
      </c>
      <c r="AA5" s="23"/>
      <c r="AB5" s="23"/>
      <c r="AC5" s="23"/>
      <c r="AD5" s="23"/>
      <c r="AE5" s="23"/>
      <c r="AF5" s="23"/>
      <c r="AG5" s="23"/>
      <c r="AH5" s="23"/>
      <c r="AJ5" s="157" t="s">
        <v>180</v>
      </c>
      <c r="AK5" s="490">
        <f>VLOOKUP($D$9,AM20:AN25,2)</f>
        <v>1</v>
      </c>
      <c r="AL5" s="108"/>
      <c r="AM5" s="161" t="str">
        <f>IF(AND($D$6&gt;AM4,$D$6&lt;AM6),$D$6,"nicht interpolieren")</f>
        <v>nicht interpolieren</v>
      </c>
      <c r="AN5" s="162" t="e">
        <f>AN4-(AN4-AN6)*(AM5-AM4)/(AM6-AM4)</f>
        <v>#VALUE!</v>
      </c>
      <c r="AO5" s="108"/>
      <c r="AP5" s="171" t="s">
        <v>455</v>
      </c>
      <c r="AQ5" s="172">
        <v>6.43</v>
      </c>
      <c r="AR5" s="169">
        <f t="shared" si="6"/>
        <v>8.9799999999999986</v>
      </c>
      <c r="AS5" s="169">
        <v>5.92</v>
      </c>
      <c r="AT5" s="169">
        <f t="shared" si="7"/>
        <v>8.3200000000000021</v>
      </c>
      <c r="AU5" s="169">
        <v>5.52</v>
      </c>
      <c r="AV5" s="169">
        <f t="shared" si="8"/>
        <v>7.8299999999999912</v>
      </c>
      <c r="AW5" s="169">
        <v>5.19</v>
      </c>
      <c r="AX5" s="169">
        <f t="shared" si="9"/>
        <v>5.0500000000000007</v>
      </c>
      <c r="AY5" s="169">
        <v>4.91</v>
      </c>
      <c r="AZ5" s="169">
        <f t="shared" si="10"/>
        <v>7.0700000000000021</v>
      </c>
      <c r="BA5" s="169">
        <v>4.67</v>
      </c>
      <c r="BB5" s="169">
        <f t="shared" si="17"/>
        <v>6.7699999999999978</v>
      </c>
      <c r="BC5" s="169">
        <v>4.46</v>
      </c>
      <c r="BD5" s="23"/>
      <c r="BE5" s="23"/>
      <c r="BF5" s="23"/>
      <c r="BG5" s="23"/>
      <c r="BH5" s="23"/>
      <c r="BI5" s="23"/>
      <c r="BJ5" s="23"/>
      <c r="BK5" s="23"/>
      <c r="BM5" s="157" t="s">
        <v>187</v>
      </c>
      <c r="BN5" s="490">
        <f>VLOOKUP($D$9,BP18:BQ23,2)</f>
        <v>1</v>
      </c>
      <c r="BO5" s="108"/>
      <c r="BP5" s="161" t="str">
        <f>IF(AND($D$7&gt;BP4,$D$7&lt;BP6),$D$7,"nicht interpolieren")</f>
        <v>nicht interpolieren</v>
      </c>
      <c r="BQ5" s="162" t="e">
        <f>BQ4-(BQ4-BQ6)*(BP5-BP4)/(BP6-BP4)</f>
        <v>#VALUE!</v>
      </c>
      <c r="BR5" s="108"/>
      <c r="BS5" s="171" t="s">
        <v>455</v>
      </c>
      <c r="BT5" s="172">
        <v>7.33</v>
      </c>
      <c r="BU5" s="169">
        <f t="shared" si="11"/>
        <v>10.28</v>
      </c>
      <c r="BV5" s="169">
        <v>6.74</v>
      </c>
      <c r="BW5" s="169">
        <f t="shared" si="12"/>
        <v>9.5</v>
      </c>
      <c r="BX5" s="169">
        <v>6.28</v>
      </c>
      <c r="BY5" s="169">
        <f t="shared" si="13"/>
        <v>8.9399999999999977</v>
      </c>
      <c r="BZ5" s="169">
        <v>5.9</v>
      </c>
      <c r="CA5" s="169">
        <f t="shared" si="14"/>
        <v>5.7450000000000001</v>
      </c>
      <c r="CB5" s="169">
        <v>5.59</v>
      </c>
      <c r="CC5" s="169">
        <f t="shared" si="15"/>
        <v>8.110000000000003</v>
      </c>
      <c r="CD5" s="169">
        <v>5.31</v>
      </c>
      <c r="CE5" s="169">
        <f t="shared" si="16"/>
        <v>7.6099999999999923</v>
      </c>
      <c r="CF5" s="169">
        <v>5.08</v>
      </c>
      <c r="CG5" s="23"/>
      <c r="CH5" s="23"/>
      <c r="CI5" s="23"/>
      <c r="CJ5" s="23"/>
      <c r="CK5" s="23"/>
      <c r="CL5" s="23"/>
      <c r="CM5" s="23"/>
      <c r="CN5" s="23"/>
    </row>
    <row r="6" spans="1:92" ht="20.149999999999999" customHeight="1" thickBot="1" x14ac:dyDescent="0.3">
      <c r="B6" s="254" t="s">
        <v>170</v>
      </c>
      <c r="C6" s="232" t="s">
        <v>0</v>
      </c>
      <c r="D6" s="257">
        <f>'Ermittlung Schneelast'!D53</f>
        <v>1.1000000000000001</v>
      </c>
      <c r="E6" s="233"/>
      <c r="G6" s="158" t="s">
        <v>90</v>
      </c>
      <c r="H6" s="516">
        <f>VLOOKUP($D$13,Daten!$A$44:$B$47,2)</f>
        <v>1</v>
      </c>
      <c r="I6" s="111"/>
      <c r="J6" s="161">
        <v>1</v>
      </c>
      <c r="K6" s="162">
        <v>1</v>
      </c>
      <c r="L6" s="111"/>
      <c r="M6" s="167" t="s">
        <v>129</v>
      </c>
      <c r="N6" s="172">
        <v>4.62</v>
      </c>
      <c r="O6" s="169">
        <f t="shared" si="0"/>
        <v>5.919999999999999</v>
      </c>
      <c r="P6" s="169">
        <v>4.3600000000000003</v>
      </c>
      <c r="Q6" s="169">
        <f t="shared" si="1"/>
        <v>5.62</v>
      </c>
      <c r="R6" s="169">
        <v>4.1500000000000004</v>
      </c>
      <c r="S6" s="169">
        <f t="shared" si="2"/>
        <v>5.41</v>
      </c>
      <c r="T6" s="169">
        <v>3.97</v>
      </c>
      <c r="U6" s="169">
        <f t="shared" si="3"/>
        <v>3.895</v>
      </c>
      <c r="V6" s="169">
        <v>3.82</v>
      </c>
      <c r="W6" s="169">
        <f t="shared" si="4"/>
        <v>4.9899999999999993</v>
      </c>
      <c r="X6" s="169">
        <v>3.69</v>
      </c>
      <c r="Y6" s="169">
        <f t="shared" si="5"/>
        <v>4.7899999999999974</v>
      </c>
      <c r="Z6" s="169">
        <v>3.58</v>
      </c>
      <c r="AA6" s="23"/>
      <c r="AB6" s="23"/>
      <c r="AC6" s="23"/>
      <c r="AD6" s="23"/>
      <c r="AE6" s="23"/>
      <c r="AF6" s="23"/>
      <c r="AG6" s="23"/>
      <c r="AH6" s="23"/>
      <c r="AJ6" s="180" t="s">
        <v>90</v>
      </c>
      <c r="AK6" s="516">
        <f>VLOOKUP($D$13,Daten!$A$44:$B$47,2)</f>
        <v>1</v>
      </c>
      <c r="AL6" s="111"/>
      <c r="AM6" s="161">
        <v>1</v>
      </c>
      <c r="AN6" s="162">
        <v>1</v>
      </c>
      <c r="AO6" s="111"/>
      <c r="AP6" s="167" t="s">
        <v>129</v>
      </c>
      <c r="AQ6" s="172">
        <v>5.42</v>
      </c>
      <c r="AR6" s="169">
        <f t="shared" si="6"/>
        <v>7.6700000000000017</v>
      </c>
      <c r="AS6" s="169">
        <v>4.97</v>
      </c>
      <c r="AT6" s="169">
        <f t="shared" si="7"/>
        <v>7.1299999999999972</v>
      </c>
      <c r="AU6" s="169">
        <v>4.6100000000000003</v>
      </c>
      <c r="AV6" s="169">
        <f t="shared" si="8"/>
        <v>6.6399999999999988</v>
      </c>
      <c r="AW6" s="169">
        <v>4.32</v>
      </c>
      <c r="AX6" s="169">
        <f t="shared" si="9"/>
        <v>4.2</v>
      </c>
      <c r="AY6" s="169">
        <v>4.08</v>
      </c>
      <c r="AZ6" s="169">
        <f t="shared" si="10"/>
        <v>5.9700000000000006</v>
      </c>
      <c r="BA6" s="169">
        <v>3.87</v>
      </c>
      <c r="BB6" s="169">
        <f t="shared" si="17"/>
        <v>5.67</v>
      </c>
      <c r="BC6" s="169">
        <v>3.69</v>
      </c>
      <c r="BD6" s="23"/>
      <c r="BE6" s="23"/>
      <c r="BF6" s="23"/>
      <c r="BG6" s="23"/>
      <c r="BH6" s="23"/>
      <c r="BI6" s="23"/>
      <c r="BJ6" s="23"/>
      <c r="BK6" s="23"/>
      <c r="BM6" s="180" t="s">
        <v>90</v>
      </c>
      <c r="BN6" s="516">
        <f>VLOOKUP($D$13,Daten!$A$44:$B$47,2)</f>
        <v>1</v>
      </c>
      <c r="BO6" s="111"/>
      <c r="BP6" s="161">
        <v>2</v>
      </c>
      <c r="BQ6" s="162">
        <v>0.88</v>
      </c>
      <c r="BR6" s="111"/>
      <c r="BS6" s="167" t="s">
        <v>129</v>
      </c>
      <c r="BT6" s="172">
        <v>6.17</v>
      </c>
      <c r="BU6" s="169">
        <f t="shared" si="11"/>
        <v>8.7699999999999978</v>
      </c>
      <c r="BV6" s="169">
        <v>5.65</v>
      </c>
      <c r="BW6" s="169">
        <f t="shared" si="12"/>
        <v>8.1100000000000012</v>
      </c>
      <c r="BX6" s="169">
        <v>5.24</v>
      </c>
      <c r="BY6" s="169">
        <f t="shared" si="13"/>
        <v>7.5499999999999989</v>
      </c>
      <c r="BZ6" s="169">
        <v>4.91</v>
      </c>
      <c r="CA6" s="169">
        <f t="shared" si="14"/>
        <v>4.7700000000000005</v>
      </c>
      <c r="CB6" s="169">
        <v>4.63</v>
      </c>
      <c r="CC6" s="169">
        <f t="shared" si="15"/>
        <v>6.6999999999999957</v>
      </c>
      <c r="CD6" s="169">
        <v>4.4000000000000004</v>
      </c>
      <c r="CE6" s="169">
        <f t="shared" si="16"/>
        <v>6.4</v>
      </c>
      <c r="CF6" s="169">
        <v>4.2</v>
      </c>
      <c r="CG6" s="23"/>
      <c r="CH6" s="23"/>
      <c r="CI6" s="23"/>
      <c r="CJ6" s="23"/>
      <c r="CK6" s="23"/>
      <c r="CL6" s="23"/>
      <c r="CM6" s="23"/>
      <c r="CN6" s="23"/>
    </row>
    <row r="7" spans="1:92" ht="20.149999999999999" customHeight="1" x14ac:dyDescent="0.25">
      <c r="B7" s="254" t="s">
        <v>171</v>
      </c>
      <c r="C7" s="232" t="s">
        <v>0</v>
      </c>
      <c r="D7" s="257" t="str">
        <f>'Ermittlung Schneelast'!D54</f>
        <v>nur erforderlich für Norddeutsches Tiefland</v>
      </c>
      <c r="E7" s="233"/>
      <c r="I7" s="111"/>
      <c r="J7" s="161">
        <f>IF(AND($D$6&gt;J6,$D$6&lt;J8),$D$6,"nicht interpolieren")</f>
        <v>1.1000000000000001</v>
      </c>
      <c r="K7" s="162">
        <f>K6-(K6-K8)*(J7-J6)/(J8-J6)</f>
        <v>0.98199999999999998</v>
      </c>
      <c r="L7" s="111"/>
      <c r="M7" s="171" t="s">
        <v>130</v>
      </c>
      <c r="N7" s="172">
        <v>5.48</v>
      </c>
      <c r="O7" s="169">
        <f t="shared" si="0"/>
        <v>6.8800000000000017</v>
      </c>
      <c r="P7" s="169">
        <v>5.2</v>
      </c>
      <c r="Q7" s="169">
        <f t="shared" si="1"/>
        <v>6.6400000000000015</v>
      </c>
      <c r="R7" s="169">
        <v>4.96</v>
      </c>
      <c r="S7" s="169">
        <f t="shared" si="2"/>
        <v>6.2900000000000009</v>
      </c>
      <c r="T7" s="169">
        <v>4.7699999999999996</v>
      </c>
      <c r="U7" s="169">
        <f t="shared" si="3"/>
        <v>4.6849999999999996</v>
      </c>
      <c r="V7" s="169">
        <v>4.5999999999999996</v>
      </c>
      <c r="W7" s="169">
        <f t="shared" si="4"/>
        <v>5.9499999999999957</v>
      </c>
      <c r="X7" s="169">
        <v>4.45</v>
      </c>
      <c r="Y7" s="169">
        <f t="shared" si="5"/>
        <v>5.7499999999999982</v>
      </c>
      <c r="Z7" s="169">
        <v>4.32</v>
      </c>
      <c r="AA7" s="23"/>
      <c r="AB7" s="23"/>
      <c r="AC7" s="23"/>
      <c r="AD7" s="23"/>
      <c r="AE7" s="23"/>
      <c r="AF7" s="23"/>
      <c r="AG7" s="23"/>
      <c r="AH7" s="23"/>
      <c r="AJ7" s="8"/>
      <c r="AL7" s="111"/>
      <c r="AM7" s="161">
        <f>IF(AND($D$6&gt;AM6,$D$6&lt;AM8),$D$6,"nicht interpolieren")</f>
        <v>1.1000000000000001</v>
      </c>
      <c r="AN7" s="162">
        <f>AN6-(AN6-AN8)*(AM7-AM6)/(AM8-AM6)</f>
        <v>0.97399999999999998</v>
      </c>
      <c r="AO7" s="111"/>
      <c r="AP7" s="171" t="s">
        <v>130</v>
      </c>
      <c r="AQ7" s="172">
        <v>7.04</v>
      </c>
      <c r="AR7" s="169">
        <f t="shared" si="6"/>
        <v>9.7899999999999991</v>
      </c>
      <c r="AS7" s="169">
        <v>6.49</v>
      </c>
      <c r="AT7" s="169">
        <f t="shared" si="7"/>
        <v>9.0700000000000038</v>
      </c>
      <c r="AU7" s="169">
        <v>6.06</v>
      </c>
      <c r="AV7" s="169">
        <f t="shared" si="8"/>
        <v>8.579999999999993</v>
      </c>
      <c r="AW7" s="169">
        <v>5.7</v>
      </c>
      <c r="AX7" s="169">
        <f t="shared" si="9"/>
        <v>5.5449999999999999</v>
      </c>
      <c r="AY7" s="169">
        <v>5.39</v>
      </c>
      <c r="AZ7" s="169">
        <f t="shared" si="10"/>
        <v>7.7299999999999986</v>
      </c>
      <c r="BA7" s="169">
        <v>5.13</v>
      </c>
      <c r="BB7" s="169">
        <f t="shared" si="17"/>
        <v>7.3299999999999956</v>
      </c>
      <c r="BC7" s="169">
        <v>4.91</v>
      </c>
      <c r="BD7" s="23"/>
      <c r="BE7" s="23"/>
      <c r="BF7" s="23"/>
      <c r="BG7" s="23"/>
      <c r="BH7" s="23"/>
      <c r="BI7" s="23"/>
      <c r="BJ7" s="23"/>
      <c r="BK7" s="23"/>
      <c r="BM7" s="8"/>
      <c r="BO7" s="111"/>
      <c r="BP7" s="161" t="str">
        <f>IF(AND($D$7&gt;BP6,$D$7&lt;BP8),$D$7,"nicht interpolieren")</f>
        <v>nicht interpolieren</v>
      </c>
      <c r="BQ7" s="162" t="e">
        <f>BQ6-(BQ6-BQ8)*(BP7-BP6)/(BP8-BP6)</f>
        <v>#VALUE!</v>
      </c>
      <c r="BR7" s="111"/>
      <c r="BS7" s="171" t="s">
        <v>130</v>
      </c>
      <c r="BT7" s="172">
        <v>8.02</v>
      </c>
      <c r="BU7" s="169">
        <f t="shared" si="11"/>
        <v>11.119999999999997</v>
      </c>
      <c r="BV7" s="169">
        <v>7.4</v>
      </c>
      <c r="BW7" s="169">
        <f t="shared" si="12"/>
        <v>10.460000000000004</v>
      </c>
      <c r="BX7" s="169">
        <v>6.89</v>
      </c>
      <c r="BY7" s="169">
        <f t="shared" si="13"/>
        <v>9.7599999999999909</v>
      </c>
      <c r="BZ7" s="169">
        <v>6.48</v>
      </c>
      <c r="CA7" s="169">
        <f t="shared" si="14"/>
        <v>6.3100000000000005</v>
      </c>
      <c r="CB7" s="169">
        <v>6.14</v>
      </c>
      <c r="CC7" s="169">
        <f t="shared" si="15"/>
        <v>8.84</v>
      </c>
      <c r="CD7" s="169">
        <v>5.84</v>
      </c>
      <c r="CE7" s="169">
        <f t="shared" si="16"/>
        <v>8.3399999999999981</v>
      </c>
      <c r="CF7" s="169">
        <v>5.59</v>
      </c>
      <c r="CG7" s="23"/>
      <c r="CH7" s="23"/>
      <c r="CI7" s="23"/>
      <c r="CJ7" s="23"/>
      <c r="CK7" s="23"/>
      <c r="CL7" s="23"/>
      <c r="CM7" s="23"/>
      <c r="CN7" s="23"/>
    </row>
    <row r="8" spans="1:92" ht="20.149999999999999" customHeight="1" x14ac:dyDescent="0.25">
      <c r="B8" s="254" t="s">
        <v>25</v>
      </c>
      <c r="C8" s="232" t="s">
        <v>0</v>
      </c>
      <c r="D8" s="258" t="str">
        <f>'Ermittlung Schneelast'!D11:F11</f>
        <v>1, Binnenland</v>
      </c>
      <c r="E8" s="233"/>
      <c r="I8" s="111"/>
      <c r="J8" s="161">
        <v>1.5</v>
      </c>
      <c r="K8" s="162">
        <v>0.91</v>
      </c>
      <c r="L8" s="111"/>
      <c r="M8" s="173" t="s">
        <v>134</v>
      </c>
      <c r="N8" s="172">
        <v>5.32</v>
      </c>
      <c r="O8" s="169">
        <f t="shared" si="0"/>
        <v>6.8200000000000038</v>
      </c>
      <c r="P8" s="169">
        <v>5.0199999999999996</v>
      </c>
      <c r="Q8" s="169">
        <f t="shared" si="1"/>
        <v>6.4599999999999955</v>
      </c>
      <c r="R8" s="169">
        <v>4.78</v>
      </c>
      <c r="S8" s="169">
        <f t="shared" si="2"/>
        <v>6.18</v>
      </c>
      <c r="T8" s="169">
        <v>4.58</v>
      </c>
      <c r="U8" s="169">
        <f t="shared" si="3"/>
        <v>4.4950000000000001</v>
      </c>
      <c r="V8" s="169">
        <v>4.41</v>
      </c>
      <c r="W8" s="169">
        <f t="shared" si="4"/>
        <v>5.7600000000000033</v>
      </c>
      <c r="X8" s="169">
        <v>4.26</v>
      </c>
      <c r="Y8" s="169">
        <f t="shared" si="5"/>
        <v>5.5599999999999978</v>
      </c>
      <c r="Z8" s="169">
        <v>4.13</v>
      </c>
      <c r="AA8" s="23"/>
      <c r="AB8" s="23"/>
      <c r="AC8" s="23"/>
      <c r="AD8" s="23"/>
      <c r="AE8" s="23"/>
      <c r="AF8" s="23"/>
      <c r="AG8" s="23"/>
      <c r="AH8" s="23"/>
      <c r="AJ8" s="8"/>
      <c r="AL8" s="111"/>
      <c r="AM8" s="161">
        <v>1.5</v>
      </c>
      <c r="AN8" s="162">
        <v>0.87</v>
      </c>
      <c r="AO8" s="111"/>
      <c r="AP8" s="173" t="s">
        <v>134</v>
      </c>
      <c r="AQ8" s="172">
        <v>7.31</v>
      </c>
      <c r="AR8" s="169">
        <f t="shared" si="6"/>
        <v>10.309999999999999</v>
      </c>
      <c r="AS8" s="169">
        <v>6.71</v>
      </c>
      <c r="AT8" s="169">
        <f t="shared" si="7"/>
        <v>9.5899999999999981</v>
      </c>
      <c r="AU8" s="169">
        <v>6.23</v>
      </c>
      <c r="AV8" s="169">
        <f t="shared" si="8"/>
        <v>8.9600000000000009</v>
      </c>
      <c r="AW8" s="169">
        <v>5.84</v>
      </c>
      <c r="AX8" s="169">
        <f t="shared" si="9"/>
        <v>5.6749999999999998</v>
      </c>
      <c r="AY8" s="169">
        <v>5.51</v>
      </c>
      <c r="AZ8" s="169">
        <f t="shared" si="10"/>
        <v>7.9399999999999968</v>
      </c>
      <c r="BA8" s="169">
        <v>5.24</v>
      </c>
      <c r="BB8" s="169">
        <f t="shared" si="17"/>
        <v>7.6400000000000006</v>
      </c>
      <c r="BC8" s="169">
        <v>5</v>
      </c>
      <c r="BD8" s="23"/>
      <c r="BE8" s="23"/>
      <c r="BF8" s="23"/>
      <c r="BG8" s="23"/>
      <c r="BH8" s="23"/>
      <c r="BI8" s="23"/>
      <c r="BJ8" s="23"/>
      <c r="BK8" s="23"/>
      <c r="BM8" s="8"/>
      <c r="BO8" s="111"/>
      <c r="BP8" s="161">
        <v>2.5</v>
      </c>
      <c r="BQ8" s="162">
        <v>0.8</v>
      </c>
      <c r="BR8" s="111"/>
      <c r="BS8" s="173" t="s">
        <v>134</v>
      </c>
      <c r="BT8" s="172">
        <v>8.32</v>
      </c>
      <c r="BU8" s="169">
        <f t="shared" si="11"/>
        <v>11.770000000000003</v>
      </c>
      <c r="BV8" s="169">
        <v>7.63</v>
      </c>
      <c r="BW8" s="169">
        <f t="shared" si="12"/>
        <v>10.93</v>
      </c>
      <c r="BX8" s="169">
        <v>7.08</v>
      </c>
      <c r="BY8" s="169">
        <f t="shared" si="13"/>
        <v>10.16</v>
      </c>
      <c r="BZ8" s="169">
        <v>6.64</v>
      </c>
      <c r="CA8" s="169">
        <f t="shared" si="14"/>
        <v>6.4550000000000001</v>
      </c>
      <c r="CB8" s="169">
        <v>6.27</v>
      </c>
      <c r="CC8" s="169">
        <f t="shared" si="15"/>
        <v>9.0599999999999969</v>
      </c>
      <c r="CD8" s="169">
        <v>5.96</v>
      </c>
      <c r="CE8" s="169">
        <f t="shared" si="16"/>
        <v>8.659999999999993</v>
      </c>
      <c r="CF8" s="169">
        <v>5.69</v>
      </c>
      <c r="CG8" s="23"/>
      <c r="CH8" s="23"/>
      <c r="CI8" s="23"/>
      <c r="CJ8" s="23"/>
      <c r="CK8" s="23"/>
      <c r="CL8" s="23"/>
      <c r="CM8" s="23"/>
      <c r="CN8" s="23"/>
    </row>
    <row r="9" spans="1:92" ht="20.149999999999999" customHeight="1" x14ac:dyDescent="0.25">
      <c r="B9" s="254" t="s">
        <v>4</v>
      </c>
      <c r="C9" s="232" t="s">
        <v>0</v>
      </c>
      <c r="D9" s="259">
        <f>'Ermittlung Schneelast'!D18</f>
        <v>10</v>
      </c>
      <c r="E9" s="233"/>
      <c r="I9" s="107"/>
      <c r="J9" s="161" t="str">
        <f>IF(AND($D$6&gt;J8,$D$6&lt;J10),$D$6,"nicht interpolieren")</f>
        <v>nicht interpolieren</v>
      </c>
      <c r="K9" s="162" t="e">
        <f>K8-(K8-K10)*(J9-J8)/(J10-J8)</f>
        <v>#VALUE!</v>
      </c>
      <c r="L9" s="107"/>
      <c r="M9" s="171" t="s">
        <v>135</v>
      </c>
      <c r="N9" s="172">
        <v>5.96</v>
      </c>
      <c r="O9" s="169">
        <f t="shared" si="0"/>
        <v>7.509999999999998</v>
      </c>
      <c r="P9" s="169">
        <v>5.65</v>
      </c>
      <c r="Q9" s="169">
        <f t="shared" si="1"/>
        <v>7.15</v>
      </c>
      <c r="R9" s="169">
        <v>5.4</v>
      </c>
      <c r="S9" s="169">
        <f t="shared" si="2"/>
        <v>6.9400000000000031</v>
      </c>
      <c r="T9" s="169">
        <v>5.18</v>
      </c>
      <c r="U9" s="169">
        <f t="shared" si="3"/>
        <v>5.09</v>
      </c>
      <c r="V9" s="169">
        <v>5</v>
      </c>
      <c r="W9" s="169">
        <f t="shared" si="4"/>
        <v>6.4400000000000013</v>
      </c>
      <c r="X9" s="169">
        <v>4.84</v>
      </c>
      <c r="Y9" s="169">
        <f t="shared" si="5"/>
        <v>6.2399999999999949</v>
      </c>
      <c r="Z9" s="169">
        <v>4.7</v>
      </c>
      <c r="AA9" s="23"/>
      <c r="AB9" s="23"/>
      <c r="AC9" s="23"/>
      <c r="AD9" s="23"/>
      <c r="AE9" s="23"/>
      <c r="AF9" s="23"/>
      <c r="AG9" s="23"/>
      <c r="AH9" s="23"/>
      <c r="AJ9" s="8"/>
      <c r="AL9" s="107"/>
      <c r="AM9" s="161" t="str">
        <f>IF(AND($D$6&gt;AM8,$D$6&lt;AM13),$D$6,"nicht interpolieren")</f>
        <v>nicht interpolieren</v>
      </c>
      <c r="AN9" s="162" t="e">
        <f>AN8-(AN8-AN13)*(AM9-AM8)/(AM13-AM8)</f>
        <v>#VALUE!</v>
      </c>
      <c r="AO9" s="107"/>
      <c r="AP9" s="171" t="s">
        <v>135</v>
      </c>
      <c r="AQ9" s="172">
        <v>8.2799999999999994</v>
      </c>
      <c r="AR9" s="169">
        <f t="shared" si="6"/>
        <v>11.479999999999999</v>
      </c>
      <c r="AS9" s="169">
        <v>7.64</v>
      </c>
      <c r="AT9" s="169">
        <f t="shared" si="7"/>
        <v>10.7</v>
      </c>
      <c r="AU9" s="169">
        <v>7.13</v>
      </c>
      <c r="AV9" s="169">
        <f t="shared" si="8"/>
        <v>10.069999999999997</v>
      </c>
      <c r="AW9" s="169">
        <v>6.71</v>
      </c>
      <c r="AX9" s="169">
        <f t="shared" si="9"/>
        <v>6.5350000000000001</v>
      </c>
      <c r="AY9" s="169">
        <v>6.36</v>
      </c>
      <c r="AZ9" s="169">
        <f t="shared" si="10"/>
        <v>9.0600000000000076</v>
      </c>
      <c r="BA9" s="169">
        <v>6.06</v>
      </c>
      <c r="BB9" s="169">
        <f t="shared" si="17"/>
        <v>8.7599999999999927</v>
      </c>
      <c r="BC9" s="169">
        <v>5.79</v>
      </c>
      <c r="BD9" s="23"/>
      <c r="BE9" s="23"/>
      <c r="BF9" s="23"/>
      <c r="BG9" s="23"/>
      <c r="BH9" s="23"/>
      <c r="BI9" s="23"/>
      <c r="BJ9" s="23"/>
      <c r="BK9" s="23"/>
      <c r="BM9" s="8"/>
      <c r="BO9" s="107"/>
      <c r="BP9" s="161" t="str">
        <f>IF(AND($D$7&gt;BP8,$D$7&lt;BP13),$D$7,"nicht interpolieren")</f>
        <v>nicht interpolieren</v>
      </c>
      <c r="BQ9" s="162" t="e">
        <f>BQ8-(BQ8-BQ13)*(BP9-BP8)/(BP13-BP8)</f>
        <v>#VALUE!</v>
      </c>
      <c r="BR9" s="107"/>
      <c r="BS9" s="171" t="s">
        <v>135</v>
      </c>
      <c r="BT9" s="172">
        <v>9.44</v>
      </c>
      <c r="BU9" s="169">
        <f t="shared" si="11"/>
        <v>13.089999999999993</v>
      </c>
      <c r="BV9" s="169">
        <v>8.7100000000000009</v>
      </c>
      <c r="BW9" s="169">
        <f t="shared" si="12"/>
        <v>12.250000000000011</v>
      </c>
      <c r="BX9" s="169">
        <v>8.1199999999999992</v>
      </c>
      <c r="BY9" s="169">
        <f t="shared" si="13"/>
        <v>11.479999999999993</v>
      </c>
      <c r="BZ9" s="169">
        <v>7.64</v>
      </c>
      <c r="CA9" s="169">
        <f t="shared" si="14"/>
        <v>7.44</v>
      </c>
      <c r="CB9" s="169">
        <v>7.24</v>
      </c>
      <c r="CC9" s="169">
        <f t="shared" si="15"/>
        <v>10.390000000000006</v>
      </c>
      <c r="CD9" s="169">
        <v>6.89</v>
      </c>
      <c r="CE9" s="169">
        <f t="shared" si="16"/>
        <v>9.8899999999999952</v>
      </c>
      <c r="CF9" s="169">
        <v>6.59</v>
      </c>
      <c r="CG9" s="23"/>
      <c r="CH9" s="23"/>
      <c r="CI9" s="23"/>
      <c r="CJ9" s="23"/>
      <c r="CK9" s="23"/>
      <c r="CL9" s="23"/>
      <c r="CM9" s="23"/>
      <c r="CN9" s="23"/>
    </row>
    <row r="10" spans="1:92" ht="20.149999999999999" customHeight="1" x14ac:dyDescent="0.25">
      <c r="B10" s="255" t="s">
        <v>9</v>
      </c>
      <c r="C10" s="234" t="s">
        <v>0</v>
      </c>
      <c r="D10" s="260">
        <f>'Ermittlung Schneelast'!_b2</f>
        <v>3.5</v>
      </c>
      <c r="E10" s="233"/>
      <c r="I10" s="10"/>
      <c r="J10" s="161">
        <v>2</v>
      </c>
      <c r="K10" s="162">
        <v>0.84</v>
      </c>
      <c r="L10" s="10"/>
      <c r="M10" s="167" t="s">
        <v>555</v>
      </c>
      <c r="N10" s="172">
        <v>3.89</v>
      </c>
      <c r="O10" s="169">
        <f>N10-(N10-P10)*($O$1-$N$1)/($P$1-$N$1)</f>
        <v>4.9900000000000011</v>
      </c>
      <c r="P10" s="169">
        <v>3.67</v>
      </c>
      <c r="Q10" s="169">
        <f>P10-(P10-R10)*($Q$1-$P$1)/($R$1-$P$1)</f>
        <v>4.7499999999999982</v>
      </c>
      <c r="R10" s="169">
        <v>3.49</v>
      </c>
      <c r="S10" s="169">
        <f>R10-(R10-T10)*($S$1-$R$1)/($T$1-$R$1)</f>
        <v>4.5400000000000018</v>
      </c>
      <c r="T10" s="169">
        <v>3.34</v>
      </c>
      <c r="U10" s="169">
        <f>T10-(T10-V10)*($U$1-$T$1)/($V$1-$T$1)</f>
        <v>3.2800000000000002</v>
      </c>
      <c r="V10" s="169">
        <v>3.22</v>
      </c>
      <c r="W10" s="169">
        <f>V10-(V10-X10)*($W$1-$V$1)/($X$1-$V$1)</f>
        <v>4.2100000000000035</v>
      </c>
      <c r="X10" s="169">
        <v>3.11</v>
      </c>
      <c r="Y10" s="169">
        <f>X10-(X10-Z10)*($Y$1-$X$1)/($Z$1-$X$1)</f>
        <v>4.1099999999999994</v>
      </c>
      <c r="Z10" s="169">
        <v>3.01</v>
      </c>
      <c r="AP10" s="167" t="s">
        <v>555</v>
      </c>
      <c r="AQ10" s="172">
        <v>5.23</v>
      </c>
      <c r="AR10" s="169">
        <f>AQ10-(AQ10-AS10)*($O$1-$N$1)/($P$1-$N$1)</f>
        <v>7.4300000000000033</v>
      </c>
      <c r="AS10" s="169">
        <v>4.79</v>
      </c>
      <c r="AT10" s="169">
        <f>AS10-(AS10-AU10)*($Q$1-$P$1)/($R$1-$P$1)</f>
        <v>6.8899999999999988</v>
      </c>
      <c r="AU10" s="169">
        <v>4.4400000000000004</v>
      </c>
      <c r="AV10" s="169">
        <f>AU10-(AU10-AW10)*($S$1-$R$1)/($T$1-$R$1)</f>
        <v>6.4</v>
      </c>
      <c r="AW10" s="169">
        <v>4.16</v>
      </c>
      <c r="AX10" s="169">
        <f>AW10-(AW10-AY10)*($U$1-$T$1)/($V$1-$T$1)</f>
        <v>4.04</v>
      </c>
      <c r="AY10" s="169">
        <v>3.92</v>
      </c>
      <c r="AZ10" s="169">
        <f>AY10-(AY10-BA10)*($W$1-$V$1)/($X$1-$V$1)</f>
        <v>5.63</v>
      </c>
      <c r="BA10" s="169">
        <v>3.73</v>
      </c>
      <c r="BB10" s="169">
        <f>BA10-(BA10-BC10)*($Y$1-$X$1)/($Z$1-$X$1)</f>
        <v>5.4299999999999979</v>
      </c>
      <c r="BC10" s="169">
        <v>3.56</v>
      </c>
      <c r="BS10" s="167" t="s">
        <v>555</v>
      </c>
      <c r="BT10" s="172">
        <v>5.95</v>
      </c>
      <c r="BU10" s="169">
        <f>BT10-(BT10-BV10)*($O$1-$N$1)/($P$1-$N$1)</f>
        <v>8.5</v>
      </c>
      <c r="BV10" s="169">
        <v>5.44</v>
      </c>
      <c r="BW10" s="169">
        <f>BV10-(BV10-BX10)*($Q$1-$P$1)/($R$1-$P$1)</f>
        <v>7.7800000000000047</v>
      </c>
      <c r="BX10" s="169">
        <v>5.05</v>
      </c>
      <c r="BY10" s="169">
        <f>BX10-(BX10-BZ10)*($S$1-$R$1)/($T$1-$R$1)</f>
        <v>7.2899999999999938</v>
      </c>
      <c r="BZ10" s="169">
        <v>4.7300000000000004</v>
      </c>
      <c r="CA10" s="169">
        <f>BZ10-(BZ10-CB10)*($U$1-$T$1)/($V$1-$T$1)</f>
        <v>4.5950000000000006</v>
      </c>
      <c r="CB10" s="169">
        <v>4.46</v>
      </c>
      <c r="CC10" s="169">
        <f>CB10-(CB10-CD10)*($W$1-$V$1)/($X$1-$V$1)</f>
        <v>6.4399999999999977</v>
      </c>
      <c r="CD10" s="169">
        <v>4.24</v>
      </c>
      <c r="CE10" s="169">
        <f>CD10-(CD10-CF10)*($Y$1-$X$1)/($Z$1-$X$1)</f>
        <v>6.24</v>
      </c>
      <c r="CF10" s="169">
        <v>4.04</v>
      </c>
    </row>
    <row r="11" spans="1:92" ht="20.149999999999999" customHeight="1" x14ac:dyDescent="0.25">
      <c r="B11" s="254" t="s">
        <v>10</v>
      </c>
      <c r="C11" s="232" t="s">
        <v>0</v>
      </c>
      <c r="D11" s="668" t="s">
        <v>555</v>
      </c>
      <c r="E11" s="233"/>
      <c r="J11" s="161" t="str">
        <f>IF(AND($D$6&gt;J10,$D$6&lt;J12),$D$6,"nicht interpolieren")</f>
        <v>nicht interpolieren</v>
      </c>
      <c r="K11" s="162" t="e">
        <f>K10-(K10-K12)*(J11-J10)/(J12-J10)</f>
        <v>#VALUE!</v>
      </c>
      <c r="L11" s="10"/>
      <c r="M11" s="174" t="s">
        <v>556</v>
      </c>
      <c r="N11" s="172">
        <v>4.4000000000000004</v>
      </c>
      <c r="O11" s="169">
        <f t="shared" ref="O11:O12" si="18">N11-(N11-P11)*($O$1-$N$1)/($P$1-$N$1)</f>
        <v>5.6000000000000014</v>
      </c>
      <c r="P11" s="169">
        <v>4.16</v>
      </c>
      <c r="Q11" s="169">
        <f t="shared" ref="Q11:Q12" si="19">P11-(P11-R11)*($Q$1-$P$1)/($R$1-$P$1)</f>
        <v>5.3600000000000012</v>
      </c>
      <c r="R11" s="169">
        <v>3.96</v>
      </c>
      <c r="S11" s="169">
        <f t="shared" ref="S11:S12" si="20">R11-(R11-T11)*($S$1-$R$1)/($T$1-$R$1)</f>
        <v>5.08</v>
      </c>
      <c r="T11" s="169">
        <v>3.8</v>
      </c>
      <c r="U11" s="169">
        <f t="shared" ref="U11:U12" si="21">T11-(T11-V11)*($U$1-$T$1)/($V$1-$T$1)</f>
        <v>3.73</v>
      </c>
      <c r="V11" s="169">
        <v>3.66</v>
      </c>
      <c r="W11" s="169">
        <f t="shared" ref="W11:W12" si="22">V11-(V11-X11)*($W$1-$V$1)/($X$1-$V$1)</f>
        <v>4.7400000000000011</v>
      </c>
      <c r="X11" s="169">
        <v>3.54</v>
      </c>
      <c r="Y11" s="169">
        <f t="shared" ref="Y11:Y12" si="23">X11-(X11-Z11)*($Y$1-$X$1)/($Z$1-$X$1)</f>
        <v>4.6399999999999979</v>
      </c>
      <c r="Z11" s="169">
        <v>3.43</v>
      </c>
      <c r="AP11" s="174" t="s">
        <v>556</v>
      </c>
      <c r="AQ11" s="172">
        <v>6.26</v>
      </c>
      <c r="AR11" s="169">
        <f t="shared" ref="AR11:AR12" si="24">AQ11-(AQ11-AS11)*($O$1-$N$1)/($P$1-$N$1)</f>
        <v>8.8099999999999987</v>
      </c>
      <c r="AS11" s="169">
        <v>5.75</v>
      </c>
      <c r="AT11" s="169">
        <f t="shared" ref="AT11:AT12" si="25">AS11-(AS11-AU11)*($Q$1-$P$1)/($R$1-$P$1)</f>
        <v>8.1500000000000021</v>
      </c>
      <c r="AU11" s="169">
        <v>5.35</v>
      </c>
      <c r="AV11" s="169">
        <f t="shared" ref="AV11:AV12" si="26">AU11-(AU11-AW11)*($S$1-$R$1)/($T$1-$R$1)</f>
        <v>7.6599999999999984</v>
      </c>
      <c r="AW11" s="169">
        <v>5.0199999999999996</v>
      </c>
      <c r="AX11" s="169">
        <f t="shared" ref="AX11:AX12" si="27">AW11-(AW11-AY11)*($U$1-$T$1)/($V$1-$T$1)</f>
        <v>4.8849999999999998</v>
      </c>
      <c r="AY11" s="169">
        <v>4.75</v>
      </c>
      <c r="AZ11" s="169">
        <f t="shared" ref="AZ11:AZ12" si="28">AY11-(AY11-BA11)*($W$1-$V$1)/($X$1-$V$1)</f>
        <v>6.8200000000000038</v>
      </c>
      <c r="BA11" s="169">
        <v>4.5199999999999996</v>
      </c>
      <c r="BB11" s="169">
        <f t="shared" ref="BB11:BB12" si="29">BA11-(BA11-BC11)*($Y$1-$X$1)/($Z$1-$X$1)</f>
        <v>6.6199999999999974</v>
      </c>
      <c r="BC11" s="169">
        <v>4.3099999999999996</v>
      </c>
      <c r="BS11" s="174" t="s">
        <v>556</v>
      </c>
      <c r="BT11" s="172">
        <v>7.13</v>
      </c>
      <c r="BU11" s="169">
        <f t="shared" ref="BU11:BU12" si="30">BT11-(BT11-BV11)*($O$1-$N$1)/($P$1-$N$1)</f>
        <v>10.030000000000001</v>
      </c>
      <c r="BV11" s="169">
        <v>6.55</v>
      </c>
      <c r="BW11" s="169">
        <f t="shared" ref="BW11:BW12" si="31">BV11-(BV11-BX11)*($Q$1-$P$1)/($R$1-$P$1)</f>
        <v>9.31</v>
      </c>
      <c r="BX11" s="169">
        <v>6.09</v>
      </c>
      <c r="BY11" s="169">
        <f t="shared" ref="BY11:BY12" si="32">BX11-(BX11-BZ11)*($S$1-$R$1)/($T$1-$R$1)</f>
        <v>8.6799999999999979</v>
      </c>
      <c r="BZ11" s="169">
        <v>5.72</v>
      </c>
      <c r="CA11" s="169">
        <f t="shared" ref="CA11:CA12" si="33">BZ11-(BZ11-CB11)*($U$1-$T$1)/($V$1-$T$1)</f>
        <v>5.5600000000000005</v>
      </c>
      <c r="CB11" s="169">
        <v>5.4</v>
      </c>
      <c r="CC11" s="169">
        <f t="shared" ref="CC11:CC12" si="34">CB11-(CB11-CD11)*($W$1-$V$1)/($X$1-$V$1)</f>
        <v>7.7400000000000073</v>
      </c>
      <c r="CD11" s="169">
        <v>5.14</v>
      </c>
      <c r="CE11" s="169">
        <f t="shared" ref="CE11:CE12" si="35">CD11-(CD11-CF11)*($Y$1-$X$1)/($Z$1-$X$1)</f>
        <v>7.4399999999999924</v>
      </c>
      <c r="CF11" s="169">
        <v>4.91</v>
      </c>
    </row>
    <row r="12" spans="1:92" ht="20.149999999999999" customHeight="1" x14ac:dyDescent="0.25">
      <c r="B12" s="254" t="s">
        <v>18</v>
      </c>
      <c r="C12" s="232" t="s">
        <v>0</v>
      </c>
      <c r="D12" s="265">
        <v>0.85</v>
      </c>
      <c r="E12" s="235" t="str">
        <f>IF(OR(D12&lt;0.5,D12&gt;1.1),"Achtung: Trägerabstand muss zwischen 0,50 m und 1,10 m betragen!","")</f>
        <v/>
      </c>
      <c r="J12" s="161">
        <v>2.5</v>
      </c>
      <c r="K12" s="162">
        <v>0.8</v>
      </c>
      <c r="L12" s="10"/>
      <c r="M12" s="174" t="s">
        <v>557</v>
      </c>
      <c r="N12" s="172">
        <v>5.19</v>
      </c>
      <c r="O12" s="169">
        <f t="shared" si="18"/>
        <v>6.5900000000000016</v>
      </c>
      <c r="P12" s="169">
        <v>4.91</v>
      </c>
      <c r="Q12" s="169">
        <f t="shared" si="19"/>
        <v>6.2900000000000027</v>
      </c>
      <c r="R12" s="169">
        <v>4.68</v>
      </c>
      <c r="S12" s="169">
        <f t="shared" si="20"/>
        <v>6.0099999999999945</v>
      </c>
      <c r="T12" s="169">
        <v>4.49</v>
      </c>
      <c r="U12" s="169">
        <f t="shared" si="21"/>
        <v>4.41</v>
      </c>
      <c r="V12" s="169">
        <v>4.33</v>
      </c>
      <c r="W12" s="169">
        <f t="shared" si="22"/>
        <v>5.6800000000000033</v>
      </c>
      <c r="X12" s="169">
        <v>4.18</v>
      </c>
      <c r="Y12" s="169">
        <f t="shared" si="23"/>
        <v>5.38</v>
      </c>
      <c r="Z12" s="169">
        <v>4.0599999999999996</v>
      </c>
      <c r="AP12" s="174" t="s">
        <v>557</v>
      </c>
      <c r="AQ12" s="172">
        <v>6.42</v>
      </c>
      <c r="AR12" s="169">
        <f t="shared" si="24"/>
        <v>9.0199999999999978</v>
      </c>
      <c r="AS12" s="169">
        <v>5.9</v>
      </c>
      <c r="AT12" s="169">
        <f t="shared" si="25"/>
        <v>8.3600000000000012</v>
      </c>
      <c r="AU12" s="169">
        <v>5.49</v>
      </c>
      <c r="AV12" s="169">
        <f t="shared" si="26"/>
        <v>7.8699999999999974</v>
      </c>
      <c r="AW12" s="169">
        <v>5.15</v>
      </c>
      <c r="AX12" s="169">
        <f t="shared" si="27"/>
        <v>5.0100000000000007</v>
      </c>
      <c r="AY12" s="169">
        <v>4.87</v>
      </c>
      <c r="AZ12" s="169">
        <f t="shared" si="28"/>
        <v>7.0300000000000029</v>
      </c>
      <c r="BA12" s="169">
        <v>4.63</v>
      </c>
      <c r="BB12" s="169">
        <f t="shared" si="29"/>
        <v>6.7299999999999978</v>
      </c>
      <c r="BC12" s="169">
        <v>4.42</v>
      </c>
      <c r="BS12" s="174" t="s">
        <v>557</v>
      </c>
      <c r="BT12" s="172">
        <v>7.31</v>
      </c>
      <c r="BU12" s="169">
        <f t="shared" si="30"/>
        <v>10.309999999999999</v>
      </c>
      <c r="BV12" s="169">
        <v>6.71</v>
      </c>
      <c r="BW12" s="169">
        <f t="shared" si="31"/>
        <v>9.5299999999999994</v>
      </c>
      <c r="BX12" s="169">
        <v>6.24</v>
      </c>
      <c r="BY12" s="169">
        <f t="shared" si="32"/>
        <v>8.8999999999999968</v>
      </c>
      <c r="BZ12" s="169">
        <v>5.86</v>
      </c>
      <c r="CA12" s="169">
        <f t="shared" si="33"/>
        <v>5.7</v>
      </c>
      <c r="CB12" s="169">
        <v>5.54</v>
      </c>
      <c r="CC12" s="169">
        <f t="shared" si="34"/>
        <v>7.9700000000000042</v>
      </c>
      <c r="CD12" s="169">
        <v>5.27</v>
      </c>
      <c r="CE12" s="169">
        <f t="shared" si="35"/>
        <v>7.669999999999991</v>
      </c>
      <c r="CF12" s="169">
        <v>5.03</v>
      </c>
    </row>
    <row r="13" spans="1:92" ht="20.149999999999999" customHeight="1" x14ac:dyDescent="0.25">
      <c r="B13" s="254" t="s">
        <v>90</v>
      </c>
      <c r="C13" s="232" t="s">
        <v>0</v>
      </c>
      <c r="D13" s="668" t="s">
        <v>87</v>
      </c>
      <c r="E13" s="746" t="s">
        <v>565</v>
      </c>
      <c r="J13" s="161" t="str">
        <f>IF(AND($D$6&gt;J12,$D$6&lt;J14),$D$6,"nicht interpolieren")</f>
        <v>nicht interpolieren</v>
      </c>
      <c r="K13" s="162" t="e">
        <f>K12-(K12-K14)*(J13-J12)/(J14-J12)</f>
        <v>#VALUE!</v>
      </c>
      <c r="M13" s="167" t="s">
        <v>131</v>
      </c>
      <c r="N13" s="172">
        <v>3.59</v>
      </c>
      <c r="O13" s="169">
        <f t="shared" ref="O13:O19" si="36">N13-(N13-P13)*($O$1-$N$1)/($P$1-$N$1)</f>
        <v>4.6399999999999997</v>
      </c>
      <c r="P13" s="169">
        <v>3.38</v>
      </c>
      <c r="Q13" s="169">
        <f t="shared" ref="Q13:Q25" si="37">P13-(P13-R13)*($Q$1-$P$1)/($R$1-$P$1)</f>
        <v>4.3399999999999981</v>
      </c>
      <c r="R13" s="169">
        <v>3.22</v>
      </c>
      <c r="S13" s="169">
        <f t="shared" ref="S13:S25" si="38">R13-(R13-T13)*($S$1-$R$1)/($T$1-$R$1)</f>
        <v>4.2</v>
      </c>
      <c r="T13" s="169">
        <v>3.08</v>
      </c>
      <c r="U13" s="169">
        <f t="shared" ref="U13:U25" si="39">T13-(T13-V13)*($U$1-$T$1)/($V$1-$T$1)</f>
        <v>3.02</v>
      </c>
      <c r="V13" s="169">
        <v>2.96</v>
      </c>
      <c r="W13" s="169">
        <f t="shared" ref="W13:W25" si="40">V13-(V13-X13)*($W$1-$V$1)/($X$1-$V$1)</f>
        <v>3.8600000000000012</v>
      </c>
      <c r="X13" s="169">
        <v>2.86</v>
      </c>
      <c r="Y13" s="169">
        <f t="shared" ref="Y13:Y25" si="41">X13-(X13-Z13)*($Y$1-$X$1)/($Z$1-$X$1)</f>
        <v>3.7599999999999976</v>
      </c>
      <c r="Z13" s="169">
        <v>2.77</v>
      </c>
      <c r="AA13" s="23"/>
      <c r="AB13" s="23"/>
      <c r="AC13" s="23"/>
      <c r="AD13" s="23"/>
      <c r="AE13" s="23"/>
      <c r="AF13" s="23"/>
      <c r="AG13" s="23"/>
      <c r="AH13" s="23"/>
      <c r="AJ13" s="8"/>
      <c r="AL13" s="10"/>
      <c r="AM13" s="161">
        <v>2</v>
      </c>
      <c r="AN13" s="162">
        <v>0.78</v>
      </c>
      <c r="AO13" s="10"/>
      <c r="AP13" s="167" t="s">
        <v>131</v>
      </c>
      <c r="AQ13" s="172">
        <v>4.38</v>
      </c>
      <c r="AR13" s="169">
        <f t="shared" ref="AR13:AR18" si="42">AQ13-(AQ13-AS13)*($O$1-$N$1)/($P$1-$N$1)</f>
        <v>6.23</v>
      </c>
      <c r="AS13" s="169">
        <v>4.01</v>
      </c>
      <c r="AT13" s="169">
        <f t="shared" ref="AT13:AT25" si="43">AS13-(AS13-AU13)*($Q$1-$P$1)/($R$1-$P$1)</f>
        <v>5.7499999999999973</v>
      </c>
      <c r="AU13" s="169">
        <v>3.72</v>
      </c>
      <c r="AV13" s="169">
        <f t="shared" ref="AV13:AV25" si="44">AU13-(AU13-AW13)*($S$1-$R$1)/($T$1-$R$1)</f>
        <v>5.4</v>
      </c>
      <c r="AW13" s="169">
        <v>3.48</v>
      </c>
      <c r="AX13" s="169">
        <f t="shared" ref="AX13:AX25" si="45">AW13-(AW13-AY13)*($U$1-$T$1)/($V$1-$T$1)</f>
        <v>3.3850000000000002</v>
      </c>
      <c r="AY13" s="169">
        <v>3.29</v>
      </c>
      <c r="AZ13" s="169">
        <f t="shared" ref="AZ13:AZ25" si="46">AY13-(AY13-BA13)*($W$1-$V$1)/($X$1-$V$1)</f>
        <v>4.82</v>
      </c>
      <c r="BA13" s="169">
        <v>3.12</v>
      </c>
      <c r="BB13" s="169">
        <f>BA13-(BA13-BC13)*($Y$1-$X$1)/($Z$1-$X$1)</f>
        <v>4.5199999999999996</v>
      </c>
      <c r="BC13" s="169">
        <v>2.98</v>
      </c>
      <c r="BD13" s="23"/>
      <c r="BE13" s="23"/>
      <c r="BF13" s="23"/>
      <c r="BG13" s="23"/>
      <c r="BH13" s="23"/>
      <c r="BI13" s="23"/>
      <c r="BJ13" s="23"/>
      <c r="BK13" s="23"/>
      <c r="BM13" s="8"/>
      <c r="BO13" s="10"/>
      <c r="BP13" s="161">
        <v>3</v>
      </c>
      <c r="BQ13" s="162">
        <v>0.74</v>
      </c>
      <c r="BR13" s="10"/>
      <c r="BS13" s="167" t="s">
        <v>131</v>
      </c>
      <c r="BT13" s="172">
        <v>4.9800000000000004</v>
      </c>
      <c r="BU13" s="169">
        <f t="shared" ref="BU13:BU25" si="47">BT13-(BT13-BV13)*($O$1-$N$1)/($P$1-$N$1)</f>
        <v>7.0800000000000054</v>
      </c>
      <c r="BV13" s="169">
        <v>4.5599999999999996</v>
      </c>
      <c r="BW13" s="169">
        <f t="shared" ref="BW13:BW25" si="48">BV13-(BV13-BX13)*($Q$1-$P$1)/($R$1-$P$1)</f>
        <v>6.5399999999999956</v>
      </c>
      <c r="BX13" s="169">
        <v>4.2300000000000004</v>
      </c>
      <c r="BY13" s="169">
        <f t="shared" ref="BY13:BY25" si="49">BX13-(BX13-BZ13)*($S$1-$R$1)/($T$1-$R$1)</f>
        <v>6.1200000000000019</v>
      </c>
      <c r="BZ13" s="169">
        <v>3.96</v>
      </c>
      <c r="CA13" s="169">
        <f t="shared" ref="CA13:CA25" si="50">BZ13-(BZ13-CB13)*($U$1-$T$1)/($V$1-$T$1)</f>
        <v>3.85</v>
      </c>
      <c r="CB13" s="169">
        <v>3.74</v>
      </c>
      <c r="CC13" s="169">
        <f t="shared" ref="CC13:CC25" si="51">CB13-(CB13-CD13)*($W$1-$V$1)/($X$1-$V$1)</f>
        <v>5.4500000000000037</v>
      </c>
      <c r="CD13" s="169">
        <v>3.55</v>
      </c>
      <c r="CE13" s="169">
        <f t="shared" ref="CE13:CE18" si="52">CD13-(CD13-CF13)*($Y$1-$X$1)/($Z$1-$X$1)</f>
        <v>5.2499999999999973</v>
      </c>
      <c r="CF13" s="169">
        <v>3.38</v>
      </c>
      <c r="CG13" s="23"/>
      <c r="CH13" s="23"/>
      <c r="CI13" s="23"/>
      <c r="CJ13" s="23"/>
      <c r="CK13" s="23"/>
      <c r="CL13" s="23"/>
      <c r="CM13" s="23"/>
      <c r="CN13" s="23"/>
    </row>
    <row r="14" spans="1:92" ht="20.149999999999999" customHeight="1" x14ac:dyDescent="0.25">
      <c r="A14" s="10"/>
      <c r="B14" s="256">
        <f>D10</f>
        <v>3.5</v>
      </c>
      <c r="C14" s="152" t="str">
        <f>IF(B14&lt;D14,"&lt;","&gt;")</f>
        <v>&gt;</v>
      </c>
      <c r="D14" s="154">
        <f>MIN(H15,AK22,BN22)</f>
        <v>3.2209600000000003</v>
      </c>
      <c r="E14" s="233"/>
      <c r="G14" s="163" t="s">
        <v>167</v>
      </c>
      <c r="H14" s="164">
        <f>O28</f>
        <v>3.2800000000000002</v>
      </c>
      <c r="J14" s="161">
        <v>3</v>
      </c>
      <c r="K14" s="162">
        <v>0.76</v>
      </c>
      <c r="M14" s="167" t="s">
        <v>132</v>
      </c>
      <c r="N14" s="172">
        <v>5.67</v>
      </c>
      <c r="O14" s="169">
        <f t="shared" si="36"/>
        <v>7.0700000000000012</v>
      </c>
      <c r="P14" s="169">
        <v>5.39</v>
      </c>
      <c r="Q14" s="169">
        <f t="shared" si="37"/>
        <v>6.7699999999999969</v>
      </c>
      <c r="R14" s="169">
        <v>5.16</v>
      </c>
      <c r="S14" s="169">
        <f t="shared" si="38"/>
        <v>6.5600000000000005</v>
      </c>
      <c r="T14" s="169">
        <v>4.96</v>
      </c>
      <c r="U14" s="169">
        <f t="shared" si="39"/>
        <v>4.875</v>
      </c>
      <c r="V14" s="169">
        <v>4.79</v>
      </c>
      <c r="W14" s="169">
        <f t="shared" si="40"/>
        <v>6.1400000000000032</v>
      </c>
      <c r="X14" s="169">
        <v>4.6399999999999997</v>
      </c>
      <c r="Y14" s="169">
        <f t="shared" si="41"/>
        <v>6.0399999999999956</v>
      </c>
      <c r="Z14" s="169">
        <v>4.5</v>
      </c>
      <c r="AA14" s="23"/>
      <c r="AB14" s="23"/>
      <c r="AC14" s="23"/>
      <c r="AD14" s="23"/>
      <c r="AE14" s="23"/>
      <c r="AF14" s="23"/>
      <c r="AG14" s="23"/>
      <c r="AH14" s="23"/>
      <c r="AJ14" s="8"/>
      <c r="AM14" s="161" t="str">
        <f>IF(AND($D$6&gt;AM13,$D$6&lt;AM15),$D$6,"nicht interpolieren")</f>
        <v>nicht interpolieren</v>
      </c>
      <c r="AN14" s="162" t="e">
        <f>AN13-(AN13-AN15)*(AM14-AM13)/(AM15-AM13)</f>
        <v>#VALUE!</v>
      </c>
      <c r="AO14" s="10"/>
      <c r="AP14" s="167" t="s">
        <v>132</v>
      </c>
      <c r="AQ14" s="172">
        <v>7.34</v>
      </c>
      <c r="AR14" s="169">
        <f t="shared" si="42"/>
        <v>10.09</v>
      </c>
      <c r="AS14" s="169">
        <v>6.79</v>
      </c>
      <c r="AT14" s="169">
        <f t="shared" si="43"/>
        <v>9.4300000000000033</v>
      </c>
      <c r="AU14" s="169">
        <v>6.35</v>
      </c>
      <c r="AV14" s="169">
        <f t="shared" si="44"/>
        <v>8.9399999999999924</v>
      </c>
      <c r="AW14" s="169">
        <v>5.98</v>
      </c>
      <c r="AX14" s="169">
        <f t="shared" si="45"/>
        <v>5.8250000000000002</v>
      </c>
      <c r="AY14" s="169">
        <v>5.67</v>
      </c>
      <c r="AZ14" s="169">
        <f t="shared" si="46"/>
        <v>8.009999999999998</v>
      </c>
      <c r="BA14" s="169">
        <v>5.41</v>
      </c>
      <c r="BB14" s="169">
        <f>BA14-(BA14-BC14)*($Y$1-$X$1)/($Z$1-$X$1)</f>
        <v>7.7100000000000026</v>
      </c>
      <c r="BC14" s="169">
        <v>5.18</v>
      </c>
      <c r="BD14" s="23"/>
      <c r="BE14" s="23"/>
      <c r="BF14" s="23"/>
      <c r="BG14" s="23"/>
      <c r="BH14" s="23"/>
      <c r="BI14" s="23"/>
      <c r="BJ14" s="23"/>
      <c r="BK14" s="23"/>
      <c r="BM14" s="8"/>
      <c r="BP14" s="161" t="str">
        <f>IF(AND($D$7&gt;BP13,$D$7&lt;BP15),$D$7,"nicht interpolieren")</f>
        <v>nicht interpolieren</v>
      </c>
      <c r="BQ14" s="162" t="e">
        <f>BQ13-(BQ13-BQ15)*(BP14-BP13)/(BP15-BP13)</f>
        <v>#VALUE!</v>
      </c>
      <c r="BR14" s="10"/>
      <c r="BS14" s="167" t="s">
        <v>132</v>
      </c>
      <c r="BT14" s="172">
        <v>8.3699999999999992</v>
      </c>
      <c r="BU14" s="169">
        <f t="shared" si="47"/>
        <v>11.519999999999996</v>
      </c>
      <c r="BV14" s="169">
        <v>7.74</v>
      </c>
      <c r="BW14" s="169">
        <f t="shared" si="48"/>
        <v>10.8</v>
      </c>
      <c r="BX14" s="169">
        <v>7.23</v>
      </c>
      <c r="BY14" s="169">
        <f t="shared" si="49"/>
        <v>10.099999999999998</v>
      </c>
      <c r="BZ14" s="169">
        <v>6.82</v>
      </c>
      <c r="CA14" s="169">
        <f t="shared" si="50"/>
        <v>6.6400000000000006</v>
      </c>
      <c r="CB14" s="169">
        <v>6.46</v>
      </c>
      <c r="CC14" s="169">
        <f t="shared" si="51"/>
        <v>9.16</v>
      </c>
      <c r="CD14" s="169">
        <v>6.16</v>
      </c>
      <c r="CE14" s="169">
        <f t="shared" si="52"/>
        <v>8.860000000000003</v>
      </c>
      <c r="CF14" s="169">
        <v>5.89</v>
      </c>
      <c r="CG14" s="23"/>
      <c r="CH14" s="23"/>
      <c r="CI14" s="23"/>
      <c r="CJ14" s="23"/>
      <c r="CK14" s="23"/>
      <c r="CL14" s="23"/>
      <c r="CM14" s="23"/>
      <c r="CN14" s="23"/>
    </row>
    <row r="15" spans="1:92" ht="20.149999999999999" customHeight="1" x14ac:dyDescent="0.25">
      <c r="A15" s="10"/>
      <c r="B15" s="254"/>
      <c r="C15" s="153"/>
      <c r="D15" s="261" t="str">
        <f>IF(B14&gt;D14,"Bedingung nicht erfüllt!","Bedingung erfüllt!")</f>
        <v>Bedingung nicht erfüllt!</v>
      </c>
      <c r="E15" s="233"/>
      <c r="G15" s="163" t="s">
        <v>238</v>
      </c>
      <c r="H15" s="164">
        <f>H14*H2*H3*H4*H5*H6</f>
        <v>3.2209600000000003</v>
      </c>
      <c r="M15" s="174" t="s">
        <v>133</v>
      </c>
      <c r="N15" s="172">
        <v>5.05</v>
      </c>
      <c r="O15" s="169">
        <f t="shared" si="36"/>
        <v>6.4500000000000011</v>
      </c>
      <c r="P15" s="169">
        <v>4.7699999999999996</v>
      </c>
      <c r="Q15" s="169">
        <f t="shared" si="37"/>
        <v>6.0899999999999981</v>
      </c>
      <c r="R15" s="169">
        <v>4.55</v>
      </c>
      <c r="S15" s="169">
        <f t="shared" si="38"/>
        <v>5.8799999999999955</v>
      </c>
      <c r="T15" s="169">
        <v>4.3600000000000003</v>
      </c>
      <c r="U15" s="169">
        <f t="shared" si="39"/>
        <v>4.28</v>
      </c>
      <c r="V15" s="169">
        <v>4.2</v>
      </c>
      <c r="W15" s="169">
        <f t="shared" si="40"/>
        <v>5.4600000000000062</v>
      </c>
      <c r="X15" s="169">
        <v>4.0599999999999996</v>
      </c>
      <c r="Y15" s="169">
        <f t="shared" si="41"/>
        <v>5.2599999999999953</v>
      </c>
      <c r="Z15" s="169">
        <v>3.94</v>
      </c>
      <c r="AA15" s="23"/>
      <c r="AB15" s="23"/>
      <c r="AC15" s="23"/>
      <c r="AD15" s="23"/>
      <c r="AE15" s="23"/>
      <c r="AF15" s="23"/>
      <c r="AG15" s="23"/>
      <c r="AH15" s="23"/>
      <c r="AJ15" s="8"/>
      <c r="AM15" s="161">
        <v>2.5</v>
      </c>
      <c r="AN15" s="162">
        <v>0.71</v>
      </c>
      <c r="AO15" s="10"/>
      <c r="AP15" s="174" t="s">
        <v>133</v>
      </c>
      <c r="AQ15" s="172">
        <v>6.14</v>
      </c>
      <c r="AR15" s="169">
        <f t="shared" si="42"/>
        <v>8.64</v>
      </c>
      <c r="AS15" s="169">
        <v>5.64</v>
      </c>
      <c r="AT15" s="169">
        <f t="shared" si="43"/>
        <v>7.9799999999999986</v>
      </c>
      <c r="AU15" s="169">
        <v>5.25</v>
      </c>
      <c r="AV15" s="169">
        <f t="shared" si="44"/>
        <v>7.49</v>
      </c>
      <c r="AW15" s="169">
        <v>4.93</v>
      </c>
      <c r="AX15" s="169">
        <f t="shared" si="45"/>
        <v>4.7949999999999999</v>
      </c>
      <c r="AY15" s="169">
        <v>4.66</v>
      </c>
      <c r="AZ15" s="169">
        <f t="shared" si="46"/>
        <v>6.730000000000004</v>
      </c>
      <c r="BA15" s="169">
        <v>4.43</v>
      </c>
      <c r="BB15" s="169">
        <f>BA15-(BA15-BC15)*($Y$1-$X$1)/($Z$1-$X$1)</f>
        <v>6.4299999999999908</v>
      </c>
      <c r="BC15" s="169">
        <v>4.2300000000000004</v>
      </c>
      <c r="BD15" s="23"/>
      <c r="BE15" s="23"/>
      <c r="BF15" s="23"/>
      <c r="BG15" s="23"/>
      <c r="BH15" s="23"/>
      <c r="BI15" s="23"/>
      <c r="BJ15" s="23"/>
      <c r="BK15" s="23"/>
      <c r="BM15" s="107"/>
      <c r="BN15" s="10"/>
      <c r="BP15" s="161">
        <v>4</v>
      </c>
      <c r="BQ15" s="162">
        <v>0.64</v>
      </c>
      <c r="BR15" s="10"/>
      <c r="BS15" s="174" t="s">
        <v>133</v>
      </c>
      <c r="BT15" s="172">
        <v>6.99</v>
      </c>
      <c r="BU15" s="169">
        <f t="shared" si="47"/>
        <v>9.8400000000000016</v>
      </c>
      <c r="BV15" s="169">
        <v>6.42</v>
      </c>
      <c r="BW15" s="169">
        <f t="shared" si="48"/>
        <v>9.120000000000001</v>
      </c>
      <c r="BX15" s="169">
        <v>5.97</v>
      </c>
      <c r="BY15" s="169">
        <f t="shared" si="49"/>
        <v>8.5599999999999987</v>
      </c>
      <c r="BZ15" s="169">
        <v>5.6</v>
      </c>
      <c r="CA15" s="169">
        <f t="shared" si="50"/>
        <v>5.45</v>
      </c>
      <c r="CB15" s="169">
        <v>5.3</v>
      </c>
      <c r="CC15" s="169">
        <f t="shared" si="51"/>
        <v>7.7299999999999969</v>
      </c>
      <c r="CD15" s="169">
        <v>5.03</v>
      </c>
      <c r="CE15" s="169">
        <f t="shared" si="52"/>
        <v>7.2300000000000049</v>
      </c>
      <c r="CF15" s="169">
        <v>4.8099999999999996</v>
      </c>
      <c r="CG15" s="23"/>
      <c r="CH15" s="23"/>
      <c r="CI15" s="23"/>
      <c r="CJ15" s="23"/>
      <c r="CK15" s="23"/>
      <c r="CL15" s="23"/>
      <c r="CM15" s="23"/>
      <c r="CN15" s="23"/>
    </row>
    <row r="16" spans="1:92" ht="20.149999999999999" customHeight="1" thickBot="1" x14ac:dyDescent="0.3">
      <c r="A16" s="10"/>
      <c r="B16" s="236" t="s">
        <v>402</v>
      </c>
      <c r="C16" s="237" t="s">
        <v>0</v>
      </c>
      <c r="D16" s="677">
        <f>((1000/VLOOKUP('Bemessungstabelle unisoliert'!D13,Daten!A22:B25,2))*D10^4/H15^3)/COS($D$9*PI()/180)</f>
        <v>22.799993766846093</v>
      </c>
      <c r="E16" s="238"/>
      <c r="J16" s="160" t="s">
        <v>166</v>
      </c>
      <c r="K16" s="160" t="s">
        <v>391</v>
      </c>
      <c r="M16" s="651" t="s">
        <v>456</v>
      </c>
      <c r="N16" s="172">
        <v>5.05</v>
      </c>
      <c r="O16" s="169">
        <f t="shared" si="36"/>
        <v>6.4500000000000011</v>
      </c>
      <c r="P16" s="169">
        <v>4.7699999999999996</v>
      </c>
      <c r="Q16" s="169">
        <f t="shared" si="37"/>
        <v>6.2099999999999955</v>
      </c>
      <c r="R16" s="169">
        <v>4.53</v>
      </c>
      <c r="S16" s="169">
        <f t="shared" si="38"/>
        <v>5.8600000000000012</v>
      </c>
      <c r="T16" s="169">
        <v>4.34</v>
      </c>
      <c r="U16" s="169">
        <f t="shared" si="39"/>
        <v>4.26</v>
      </c>
      <c r="V16" s="169">
        <v>4.18</v>
      </c>
      <c r="W16" s="169">
        <f t="shared" si="40"/>
        <v>5.4399999999999977</v>
      </c>
      <c r="X16" s="169">
        <v>4.04</v>
      </c>
      <c r="Y16" s="169">
        <f t="shared" si="41"/>
        <v>5.24</v>
      </c>
      <c r="Z16" s="169">
        <v>3.92</v>
      </c>
      <c r="AA16" s="23"/>
      <c r="AB16" s="23"/>
      <c r="AC16" s="23"/>
      <c r="AD16" s="23"/>
      <c r="AE16" s="23"/>
      <c r="AF16" s="23"/>
      <c r="AG16" s="23"/>
      <c r="AH16" s="23"/>
      <c r="AJ16" s="8"/>
      <c r="AM16" s="161" t="str">
        <f>IF(AND($D$6&gt;AM15,$D$6&lt;AM17),$D$6,"nicht interpolieren")</f>
        <v>nicht interpolieren</v>
      </c>
      <c r="AN16" s="162" t="e">
        <f>AN15-(AN15-AN17)*(AM16-AM15)/(AM17-AM15)</f>
        <v>#VALUE!</v>
      </c>
      <c r="AP16" s="174" t="s">
        <v>456</v>
      </c>
      <c r="AQ16" s="172">
        <v>6.5</v>
      </c>
      <c r="AR16" s="169">
        <f t="shared" si="42"/>
        <v>9.25</v>
      </c>
      <c r="AS16" s="169">
        <v>5.95</v>
      </c>
      <c r="AT16" s="169">
        <f t="shared" si="43"/>
        <v>8.5300000000000047</v>
      </c>
      <c r="AU16" s="169">
        <v>5.52</v>
      </c>
      <c r="AV16" s="169">
        <f t="shared" si="44"/>
        <v>7.8999999999999968</v>
      </c>
      <c r="AW16" s="169">
        <v>5.18</v>
      </c>
      <c r="AX16" s="169">
        <f t="shared" si="45"/>
        <v>5.0350000000000001</v>
      </c>
      <c r="AY16" s="169">
        <v>4.8899999999999997</v>
      </c>
      <c r="AZ16" s="169">
        <f t="shared" si="46"/>
        <v>7.1400000000000006</v>
      </c>
      <c r="BA16" s="169">
        <v>4.6399999999999997</v>
      </c>
      <c r="BB16" s="169">
        <f>BA16-(BA16-BC16)*($Y$1-$X$1)/($Z$1-$X$1)</f>
        <v>6.7399999999999975</v>
      </c>
      <c r="BC16" s="169">
        <v>4.43</v>
      </c>
      <c r="BD16" s="23"/>
      <c r="BE16" s="23"/>
      <c r="BF16" s="23"/>
      <c r="BG16" s="23"/>
      <c r="BH16" s="23"/>
      <c r="BI16" s="23"/>
      <c r="BJ16" s="23"/>
      <c r="BK16" s="23"/>
      <c r="BM16" s="107"/>
      <c r="BN16" s="10"/>
      <c r="BS16" s="174" t="s">
        <v>456</v>
      </c>
      <c r="BT16" s="172">
        <v>7.39</v>
      </c>
      <c r="BU16" s="169">
        <f t="shared" si="47"/>
        <v>10.490000000000002</v>
      </c>
      <c r="BV16" s="169">
        <v>6.77</v>
      </c>
      <c r="BW16" s="169">
        <f t="shared" si="48"/>
        <v>9.7099999999999955</v>
      </c>
      <c r="BX16" s="169">
        <v>6.28</v>
      </c>
      <c r="BY16" s="169">
        <f t="shared" si="49"/>
        <v>9.0100000000000016</v>
      </c>
      <c r="BZ16" s="169">
        <v>5.89</v>
      </c>
      <c r="CA16" s="169">
        <f t="shared" si="50"/>
        <v>5.7249999999999996</v>
      </c>
      <c r="CB16" s="169">
        <v>5.56</v>
      </c>
      <c r="CC16" s="169">
        <f t="shared" si="51"/>
        <v>8.0799999999999947</v>
      </c>
      <c r="CD16" s="169">
        <v>5.28</v>
      </c>
      <c r="CE16" s="169">
        <f t="shared" si="52"/>
        <v>7.68</v>
      </c>
      <c r="CF16" s="169">
        <v>5.04</v>
      </c>
      <c r="CG16" s="23"/>
      <c r="CH16" s="23"/>
      <c r="CI16" s="23"/>
      <c r="CJ16" s="23"/>
      <c r="CK16" s="23"/>
      <c r="CL16" s="23"/>
      <c r="CM16" s="23"/>
      <c r="CN16" s="23"/>
    </row>
    <row r="17" spans="2:92" ht="20.149999999999999" customHeight="1" thickBot="1" x14ac:dyDescent="0.3">
      <c r="J17" s="491">
        <v>1</v>
      </c>
      <c r="K17" s="162">
        <v>1</v>
      </c>
      <c r="M17" s="174" t="s">
        <v>457</v>
      </c>
      <c r="N17" s="172">
        <v>7.29</v>
      </c>
      <c r="O17" s="169">
        <f t="shared" si="36"/>
        <v>9.0399999999999991</v>
      </c>
      <c r="P17" s="169">
        <v>6.94</v>
      </c>
      <c r="Q17" s="169">
        <f t="shared" si="37"/>
        <v>8.6800000000000015</v>
      </c>
      <c r="R17" s="169">
        <v>6.65</v>
      </c>
      <c r="S17" s="169">
        <f t="shared" si="38"/>
        <v>8.3999999999999986</v>
      </c>
      <c r="T17" s="169">
        <v>6.4</v>
      </c>
      <c r="U17" s="169">
        <f t="shared" si="39"/>
        <v>6.2950000000000008</v>
      </c>
      <c r="V17" s="169">
        <v>6.19</v>
      </c>
      <c r="W17" s="169">
        <f t="shared" si="40"/>
        <v>7.9000000000000039</v>
      </c>
      <c r="X17" s="169">
        <v>6</v>
      </c>
      <c r="Y17" s="169">
        <f t="shared" si="41"/>
        <v>7.6</v>
      </c>
      <c r="Z17" s="169">
        <v>5.84</v>
      </c>
      <c r="AA17" s="23"/>
      <c r="AB17" s="23"/>
      <c r="AC17" s="23"/>
      <c r="AD17" s="23"/>
      <c r="AE17" s="23"/>
      <c r="AF17" s="23"/>
      <c r="AG17" s="23"/>
      <c r="AH17" s="23"/>
      <c r="AM17" s="161">
        <v>3</v>
      </c>
      <c r="AN17" s="162">
        <v>0.66</v>
      </c>
      <c r="AP17" s="174" t="s">
        <v>457</v>
      </c>
      <c r="AQ17" s="172">
        <v>9.5</v>
      </c>
      <c r="AR17" s="169">
        <f t="shared" si="42"/>
        <v>12.899999999999999</v>
      </c>
      <c r="AS17" s="169">
        <v>8.82</v>
      </c>
      <c r="AT17" s="169">
        <f t="shared" si="43"/>
        <v>12.180000000000003</v>
      </c>
      <c r="AU17" s="169">
        <v>8.26</v>
      </c>
      <c r="AV17" s="169">
        <f t="shared" si="44"/>
        <v>11.479999999999997</v>
      </c>
      <c r="AW17" s="169">
        <v>7.8</v>
      </c>
      <c r="AX17" s="169">
        <f t="shared" si="45"/>
        <v>7.6050000000000004</v>
      </c>
      <c r="AY17" s="169">
        <v>7.41</v>
      </c>
      <c r="AZ17" s="169">
        <f t="shared" si="46"/>
        <v>10.469999999999999</v>
      </c>
      <c r="BA17" s="169">
        <v>7.07</v>
      </c>
      <c r="BB17" s="169">
        <f>BA17-(BA17-BC17)*($Y$1-$X$1)/($Z$1-$X$1)</f>
        <v>9.9699999999999989</v>
      </c>
      <c r="BC17" s="169">
        <v>6.78</v>
      </c>
      <c r="BD17" s="23"/>
      <c r="BE17" s="23"/>
      <c r="BF17" s="23"/>
      <c r="BG17" s="23"/>
      <c r="BH17" s="23"/>
      <c r="BI17" s="23"/>
      <c r="BJ17" s="23"/>
      <c r="BK17" s="23"/>
      <c r="BP17" s="160" t="s">
        <v>187</v>
      </c>
      <c r="BQ17" s="160" t="s">
        <v>393</v>
      </c>
      <c r="BS17" s="174" t="s">
        <v>457</v>
      </c>
      <c r="BT17" s="172">
        <v>10.84</v>
      </c>
      <c r="BU17" s="169">
        <f t="shared" si="47"/>
        <v>14.739999999999998</v>
      </c>
      <c r="BV17" s="169">
        <v>10.06</v>
      </c>
      <c r="BW17" s="169">
        <f t="shared" si="48"/>
        <v>13.900000000000006</v>
      </c>
      <c r="BX17" s="169">
        <v>9.42</v>
      </c>
      <c r="BY17" s="169">
        <f t="shared" si="49"/>
        <v>13.129999999999992</v>
      </c>
      <c r="BZ17" s="169">
        <v>8.89</v>
      </c>
      <c r="CA17" s="169">
        <f t="shared" si="50"/>
        <v>8.6650000000000009</v>
      </c>
      <c r="CB17" s="169">
        <v>8.44</v>
      </c>
      <c r="CC17" s="169">
        <f t="shared" si="51"/>
        <v>11.859999999999992</v>
      </c>
      <c r="CD17" s="169">
        <v>8.06</v>
      </c>
      <c r="CE17" s="169">
        <f t="shared" si="52"/>
        <v>11.460000000000004</v>
      </c>
      <c r="CF17" s="169">
        <v>7.72</v>
      </c>
      <c r="CG17" s="23"/>
      <c r="CH17" s="23"/>
      <c r="CI17" s="23"/>
      <c r="CJ17" s="23"/>
      <c r="CK17" s="23"/>
      <c r="CL17" s="23"/>
      <c r="CM17" s="23"/>
      <c r="CN17" s="23"/>
    </row>
    <row r="18" spans="2:92" ht="20.149999999999999" customHeight="1" x14ac:dyDescent="0.25">
      <c r="B18" s="280" t="s">
        <v>237</v>
      </c>
      <c r="C18" s="281"/>
      <c r="D18" s="282"/>
      <c r="E18" s="283"/>
      <c r="I18" s="108"/>
      <c r="J18" s="491">
        <v>10</v>
      </c>
      <c r="K18" s="162">
        <v>1</v>
      </c>
      <c r="L18" s="108"/>
      <c r="M18" s="174" t="s">
        <v>458</v>
      </c>
      <c r="N18" s="172">
        <v>5.33</v>
      </c>
      <c r="O18" s="169">
        <f t="shared" si="36"/>
        <v>6.78</v>
      </c>
      <c r="P18" s="169">
        <v>5.04</v>
      </c>
      <c r="Q18" s="169">
        <f t="shared" si="37"/>
        <v>6.4800000000000013</v>
      </c>
      <c r="R18" s="169">
        <v>4.8</v>
      </c>
      <c r="S18" s="169">
        <f t="shared" si="38"/>
        <v>6.1299999999999955</v>
      </c>
      <c r="T18" s="169">
        <v>4.6100000000000003</v>
      </c>
      <c r="U18" s="169">
        <f t="shared" si="39"/>
        <v>4.5250000000000004</v>
      </c>
      <c r="V18" s="169">
        <v>4.4400000000000004</v>
      </c>
      <c r="W18" s="169">
        <f t="shared" si="40"/>
        <v>5.7000000000000064</v>
      </c>
      <c r="X18" s="169">
        <v>4.3</v>
      </c>
      <c r="Y18" s="169">
        <f t="shared" si="41"/>
        <v>5.5999999999999979</v>
      </c>
      <c r="Z18" s="169">
        <v>4.17</v>
      </c>
      <c r="AA18" s="23"/>
      <c r="AB18" s="18"/>
      <c r="AC18" s="23"/>
      <c r="AD18" s="23"/>
      <c r="AE18" s="23"/>
      <c r="AF18" s="23"/>
      <c r="AG18" s="23"/>
      <c r="AH18" s="23"/>
      <c r="AP18" s="174" t="s">
        <v>458</v>
      </c>
      <c r="AQ18" s="172">
        <v>7.05</v>
      </c>
      <c r="AR18" s="169">
        <f t="shared" si="42"/>
        <v>9.8999999999999968</v>
      </c>
      <c r="AS18" s="169">
        <v>6.48</v>
      </c>
      <c r="AT18" s="169">
        <f t="shared" si="43"/>
        <v>9.1800000000000015</v>
      </c>
      <c r="AU18" s="169">
        <v>6.03</v>
      </c>
      <c r="AV18" s="169">
        <f t="shared" si="44"/>
        <v>8.6199999999999992</v>
      </c>
      <c r="AW18" s="169">
        <v>5.66</v>
      </c>
      <c r="AX18" s="169">
        <f t="shared" si="45"/>
        <v>5.5100000000000007</v>
      </c>
      <c r="AY18" s="169">
        <v>5.36</v>
      </c>
      <c r="AZ18" s="169">
        <f t="shared" si="46"/>
        <v>7.7900000000000045</v>
      </c>
      <c r="BA18" s="169">
        <v>5.09</v>
      </c>
      <c r="BB18" s="169">
        <f t="shared" ref="BB18:BB24" si="53">BA18-(BA18-BC18)*($Y$1-$X$1)/($Z$1-$X$1)</f>
        <v>7.2899999999999956</v>
      </c>
      <c r="BC18" s="169">
        <v>4.87</v>
      </c>
      <c r="BD18" s="23"/>
      <c r="BE18" s="23"/>
      <c r="BF18" s="23"/>
      <c r="BG18" s="23"/>
      <c r="BH18" s="23"/>
      <c r="BI18" s="23"/>
      <c r="BJ18" s="23"/>
      <c r="BK18" s="23"/>
      <c r="BP18" s="491">
        <v>1</v>
      </c>
      <c r="BQ18" s="162">
        <v>1</v>
      </c>
      <c r="BS18" s="174" t="s">
        <v>458</v>
      </c>
      <c r="BT18" s="172">
        <v>8.0299999999999994</v>
      </c>
      <c r="BU18" s="169">
        <f t="shared" si="47"/>
        <v>11.279999999999998</v>
      </c>
      <c r="BV18" s="169">
        <v>7.38</v>
      </c>
      <c r="BW18" s="169">
        <f t="shared" si="48"/>
        <v>10.499999999999998</v>
      </c>
      <c r="BX18" s="169">
        <v>6.86</v>
      </c>
      <c r="BY18" s="169">
        <f t="shared" si="49"/>
        <v>9.7999999999999972</v>
      </c>
      <c r="BZ18" s="169">
        <v>6.44</v>
      </c>
      <c r="CA18" s="169">
        <f t="shared" si="50"/>
        <v>6.2650000000000006</v>
      </c>
      <c r="CB18" s="169">
        <v>6.09</v>
      </c>
      <c r="CC18" s="169">
        <f t="shared" si="51"/>
        <v>8.7000000000000011</v>
      </c>
      <c r="CD18" s="169">
        <v>5.8</v>
      </c>
      <c r="CE18" s="169">
        <f t="shared" si="52"/>
        <v>8.399999999999995</v>
      </c>
      <c r="CF18" s="169">
        <v>5.54</v>
      </c>
      <c r="CG18" s="23"/>
      <c r="CH18" s="23"/>
      <c r="CI18" s="23"/>
      <c r="CJ18" s="23"/>
      <c r="CK18" s="23"/>
      <c r="CL18" s="23"/>
      <c r="CM18" s="23"/>
      <c r="CN18" s="23"/>
    </row>
    <row r="19" spans="2:92" ht="20.149999999999999" customHeight="1" x14ac:dyDescent="0.25">
      <c r="B19" s="284" t="s">
        <v>28</v>
      </c>
      <c r="C19" s="285" t="s">
        <v>0</v>
      </c>
      <c r="D19" s="670" t="s">
        <v>136</v>
      </c>
      <c r="E19" s="286"/>
      <c r="I19" s="107"/>
      <c r="J19" s="491" t="str">
        <f>IF(AND($D$9&gt;J18,$D$9&lt;J20),$D$9,"nicht interpolieren")</f>
        <v>nicht interpolieren</v>
      </c>
      <c r="K19" s="162" t="e">
        <f>K18-(K18-K20)*(J19-J18)/(J20-J18)</f>
        <v>#VALUE!</v>
      </c>
      <c r="L19" s="107"/>
      <c r="M19" s="174" t="s">
        <v>459</v>
      </c>
      <c r="N19" s="172">
        <v>5.91</v>
      </c>
      <c r="O19" s="169">
        <f t="shared" si="36"/>
        <v>7.5100000000000016</v>
      </c>
      <c r="P19" s="169">
        <v>5.59</v>
      </c>
      <c r="Q19" s="169">
        <f t="shared" si="37"/>
        <v>7.1499999999999986</v>
      </c>
      <c r="R19" s="169">
        <v>5.33</v>
      </c>
      <c r="S19" s="169">
        <f t="shared" si="38"/>
        <v>6.8699999999999966</v>
      </c>
      <c r="T19" s="169">
        <v>5.1100000000000003</v>
      </c>
      <c r="U19" s="169">
        <f t="shared" si="39"/>
        <v>5.0150000000000006</v>
      </c>
      <c r="V19" s="169">
        <v>4.92</v>
      </c>
      <c r="W19" s="169">
        <f t="shared" si="40"/>
        <v>6.3600000000000012</v>
      </c>
      <c r="X19" s="169">
        <v>4.76</v>
      </c>
      <c r="Y19" s="169">
        <f t="shared" si="41"/>
        <v>6.1599999999999948</v>
      </c>
      <c r="Z19" s="169">
        <v>4.62</v>
      </c>
      <c r="AA19" s="23"/>
      <c r="AB19" s="18"/>
      <c r="AC19" s="23"/>
      <c r="AD19" s="23"/>
      <c r="AE19" s="23"/>
      <c r="AF19" s="23"/>
      <c r="AG19" s="23"/>
      <c r="AH19" s="23"/>
      <c r="AM19" s="160" t="s">
        <v>180</v>
      </c>
      <c r="AN19" s="160" t="s">
        <v>392</v>
      </c>
      <c r="AO19" s="10"/>
      <c r="AP19" s="174" t="s">
        <v>459</v>
      </c>
      <c r="AQ19" s="172">
        <v>7.79</v>
      </c>
      <c r="AR19" s="169">
        <f t="shared" ref="AR19:AR24" si="54">AQ19-(AQ19-AS19)*($O$1-$N$1)/($P$1-$N$1)</f>
        <v>10.940000000000001</v>
      </c>
      <c r="AS19" s="169">
        <v>7.16</v>
      </c>
      <c r="AT19" s="169">
        <f t="shared" si="43"/>
        <v>10.16</v>
      </c>
      <c r="AU19" s="169">
        <v>6.66</v>
      </c>
      <c r="AV19" s="169">
        <f t="shared" si="44"/>
        <v>9.5299999999999976</v>
      </c>
      <c r="AW19" s="169">
        <v>6.25</v>
      </c>
      <c r="AX19" s="169">
        <f t="shared" si="45"/>
        <v>6.08</v>
      </c>
      <c r="AY19" s="169">
        <v>5.91</v>
      </c>
      <c r="AZ19" s="169">
        <f t="shared" si="46"/>
        <v>8.5200000000000014</v>
      </c>
      <c r="BA19" s="169">
        <v>5.62</v>
      </c>
      <c r="BB19" s="169">
        <f t="shared" si="53"/>
        <v>8.1199999999999974</v>
      </c>
      <c r="BC19" s="169">
        <v>5.37</v>
      </c>
      <c r="BD19" s="23"/>
      <c r="BE19" s="23"/>
      <c r="BF19" s="23"/>
      <c r="BG19" s="23"/>
      <c r="BH19" s="23"/>
      <c r="BI19" s="23"/>
      <c r="BJ19" s="23"/>
      <c r="BK19" s="23"/>
      <c r="BP19" s="491">
        <v>10</v>
      </c>
      <c r="BQ19" s="162">
        <v>1</v>
      </c>
      <c r="BS19" s="174" t="s">
        <v>459</v>
      </c>
      <c r="BT19" s="172">
        <v>8.86</v>
      </c>
      <c r="BU19" s="169">
        <f t="shared" si="47"/>
        <v>12.409999999999997</v>
      </c>
      <c r="BV19" s="169">
        <v>8.15</v>
      </c>
      <c r="BW19" s="169">
        <f t="shared" si="48"/>
        <v>11.570000000000002</v>
      </c>
      <c r="BX19" s="169">
        <v>7.58</v>
      </c>
      <c r="BY19" s="169">
        <f t="shared" si="49"/>
        <v>10.799999999999997</v>
      </c>
      <c r="BZ19" s="169">
        <v>7.12</v>
      </c>
      <c r="CA19" s="169">
        <f t="shared" si="50"/>
        <v>6.9250000000000007</v>
      </c>
      <c r="CB19" s="169">
        <v>6.73</v>
      </c>
      <c r="CC19" s="169">
        <f t="shared" si="51"/>
        <v>9.7000000000000028</v>
      </c>
      <c r="CD19" s="169">
        <v>6.4</v>
      </c>
      <c r="CE19" s="169">
        <f t="shared" ref="CE19:CE24" si="55">CD19-(CD19-CF19)*($Y$1-$X$1)/($Z$1-$X$1)</f>
        <v>9.2999999999999972</v>
      </c>
      <c r="CF19" s="169">
        <v>6.11</v>
      </c>
      <c r="CG19" s="23"/>
      <c r="CH19" s="23"/>
      <c r="CI19" s="23"/>
      <c r="CJ19" s="23"/>
      <c r="CK19" s="23"/>
      <c r="CL19" s="23"/>
      <c r="CM19" s="23"/>
      <c r="CN19" s="23"/>
    </row>
    <row r="20" spans="2:92" ht="20.149999999999999" customHeight="1" x14ac:dyDescent="0.25">
      <c r="B20" s="287">
        <f>D10</f>
        <v>3.5</v>
      </c>
      <c r="C20" s="288" t="str">
        <f>IF(B20&lt;D20,"&lt;","&gt;")</f>
        <v>&gt;</v>
      </c>
      <c r="D20" s="289">
        <f>MIN(H47,AK53,BN53)</f>
        <v>3.4697988</v>
      </c>
      <c r="E20" s="286"/>
      <c r="I20" s="107"/>
      <c r="J20" s="491">
        <v>20</v>
      </c>
      <c r="K20" s="492">
        <v>0.97</v>
      </c>
      <c r="L20" s="107"/>
      <c r="M20" s="174" t="s">
        <v>476</v>
      </c>
      <c r="N20" s="172">
        <v>1.68</v>
      </c>
      <c r="O20" s="169">
        <f t="shared" ref="O20:O25" si="56">N20-(N20-P20)*($O$1-$N$1)/($P$1-$N$1)</f>
        <v>2.1299999999999994</v>
      </c>
      <c r="P20" s="169">
        <v>1.59</v>
      </c>
      <c r="Q20" s="169">
        <f t="shared" si="37"/>
        <v>2.0700000000000007</v>
      </c>
      <c r="R20" s="169">
        <v>1.51</v>
      </c>
      <c r="S20" s="169">
        <f t="shared" si="38"/>
        <v>2</v>
      </c>
      <c r="T20" s="169">
        <v>1.44</v>
      </c>
      <c r="U20" s="169">
        <f t="shared" si="39"/>
        <v>1.415</v>
      </c>
      <c r="V20" s="169">
        <v>1.39</v>
      </c>
      <c r="W20" s="169">
        <f t="shared" si="40"/>
        <v>1.8399999999999985</v>
      </c>
      <c r="X20" s="169">
        <v>1.34</v>
      </c>
      <c r="Y20" s="169">
        <f t="shared" si="41"/>
        <v>1.7400000000000002</v>
      </c>
      <c r="Z20" s="169">
        <v>1.3</v>
      </c>
      <c r="AA20" s="18"/>
      <c r="AB20" s="18"/>
      <c r="AC20" s="18"/>
      <c r="AD20" s="18"/>
      <c r="AE20" s="18"/>
      <c r="AF20" s="18"/>
      <c r="AG20" s="18"/>
      <c r="AH20" s="18"/>
      <c r="AM20" s="491">
        <v>1</v>
      </c>
      <c r="AN20" s="162">
        <v>1</v>
      </c>
      <c r="AO20" s="10"/>
      <c r="AP20" s="174" t="s">
        <v>476</v>
      </c>
      <c r="AQ20" s="172">
        <v>2.04</v>
      </c>
      <c r="AR20" s="172">
        <f t="shared" si="54"/>
        <v>2.8899999999999997</v>
      </c>
      <c r="AS20" s="172">
        <v>1.87</v>
      </c>
      <c r="AT20" s="172">
        <f t="shared" si="43"/>
        <v>2.7100000000000009</v>
      </c>
      <c r="AU20" s="172">
        <v>1.73</v>
      </c>
      <c r="AV20" s="172">
        <f t="shared" si="44"/>
        <v>2.4999999999999982</v>
      </c>
      <c r="AW20" s="172">
        <v>1.62</v>
      </c>
      <c r="AX20" s="172">
        <f t="shared" si="45"/>
        <v>1.5750000000000002</v>
      </c>
      <c r="AY20" s="172">
        <v>1.53</v>
      </c>
      <c r="AZ20" s="172">
        <f t="shared" si="46"/>
        <v>2.2500000000000009</v>
      </c>
      <c r="BA20" s="172">
        <v>1.45</v>
      </c>
      <c r="BB20" s="172">
        <f t="shared" si="53"/>
        <v>2.15</v>
      </c>
      <c r="BC20" s="172">
        <v>1.38</v>
      </c>
      <c r="BD20" s="18"/>
      <c r="BE20" s="18"/>
      <c r="BF20" s="18"/>
      <c r="BG20" s="18"/>
      <c r="BH20" s="18"/>
      <c r="BI20" s="18"/>
      <c r="BJ20" s="18"/>
      <c r="BK20" s="18"/>
      <c r="BP20" s="491" t="str">
        <f>IF(AND($D$9&gt;BP19,$D$9&lt;BP21),$D$9,"nicht interpolieren")</f>
        <v>nicht interpolieren</v>
      </c>
      <c r="BQ20" s="492" t="e">
        <f>BQ19-(BQ19-BQ21)*(BP20-BP19)/(BP21-BP19)</f>
        <v>#VALUE!</v>
      </c>
      <c r="BS20" s="174" t="s">
        <v>476</v>
      </c>
      <c r="BT20" s="172">
        <v>2.3199999999999998</v>
      </c>
      <c r="BU20" s="169">
        <f t="shared" si="47"/>
        <v>3.3199999999999985</v>
      </c>
      <c r="BV20" s="169">
        <v>2.12</v>
      </c>
      <c r="BW20" s="169">
        <f t="shared" si="48"/>
        <v>3.0200000000000014</v>
      </c>
      <c r="BX20" s="169">
        <v>1.97</v>
      </c>
      <c r="BY20" s="169">
        <f t="shared" si="49"/>
        <v>2.8799999999999981</v>
      </c>
      <c r="BZ20" s="169">
        <v>1.84</v>
      </c>
      <c r="CA20" s="169">
        <f t="shared" si="50"/>
        <v>1.79</v>
      </c>
      <c r="CB20" s="169">
        <v>1.74</v>
      </c>
      <c r="CC20" s="169">
        <f t="shared" si="51"/>
        <v>2.5500000000000007</v>
      </c>
      <c r="CD20" s="169">
        <v>1.65</v>
      </c>
      <c r="CE20" s="169">
        <f t="shared" si="55"/>
        <v>2.4499999999999975</v>
      </c>
      <c r="CF20" s="169">
        <v>1.57</v>
      </c>
      <c r="CG20" s="18"/>
      <c r="CH20" s="18"/>
      <c r="CI20" s="18"/>
      <c r="CJ20" s="18"/>
      <c r="CK20" s="18"/>
      <c r="CL20" s="18"/>
      <c r="CM20" s="18"/>
      <c r="CN20" s="18"/>
    </row>
    <row r="21" spans="2:92" ht="20.149999999999999" customHeight="1" x14ac:dyDescent="0.25">
      <c r="B21" s="287"/>
      <c r="C21" s="290"/>
      <c r="D21" s="289" t="str">
        <f>IF(B20&gt;D20,"Bedingung nicht erfüllt!","Bedingung erfüllt!")</f>
        <v>Bedingung nicht erfüllt!</v>
      </c>
      <c r="E21" s="291"/>
      <c r="I21" s="107"/>
      <c r="J21" s="491" t="str">
        <f>IF(AND($D$9&gt;J20,$D$9&lt;J22),$D$9,"nicht interpolieren")</f>
        <v>nicht interpolieren</v>
      </c>
      <c r="K21" s="162" t="e">
        <f>K20-(K20-K22)*(J21-J20)/(J22-J20)</f>
        <v>#VALUE!</v>
      </c>
      <c r="L21" s="107"/>
      <c r="M21" s="174" t="s">
        <v>468</v>
      </c>
      <c r="N21" s="172">
        <v>5.19</v>
      </c>
      <c r="O21" s="169">
        <f t="shared" si="56"/>
        <v>6.6400000000000006</v>
      </c>
      <c r="P21" s="169">
        <v>4.9000000000000004</v>
      </c>
      <c r="Q21" s="169">
        <f t="shared" si="37"/>
        <v>6.2800000000000029</v>
      </c>
      <c r="R21" s="169">
        <v>4.67</v>
      </c>
      <c r="S21" s="169">
        <f t="shared" si="38"/>
        <v>6.07</v>
      </c>
      <c r="T21" s="169">
        <v>4.47</v>
      </c>
      <c r="U21" s="169">
        <f t="shared" si="39"/>
        <v>4.3899999999999997</v>
      </c>
      <c r="V21" s="169">
        <v>4.3099999999999996</v>
      </c>
      <c r="W21" s="169">
        <f t="shared" si="40"/>
        <v>5.6599999999999948</v>
      </c>
      <c r="X21" s="169">
        <v>4.16</v>
      </c>
      <c r="Y21" s="169">
        <f t="shared" si="41"/>
        <v>5.36</v>
      </c>
      <c r="Z21" s="169">
        <v>4.04</v>
      </c>
      <c r="AA21" s="18"/>
      <c r="AB21" s="23"/>
      <c r="AC21" s="18"/>
      <c r="AD21" s="18"/>
      <c r="AE21" s="18"/>
      <c r="AF21" s="18"/>
      <c r="AG21" s="18"/>
      <c r="AH21" s="18"/>
      <c r="AJ21" s="163" t="s">
        <v>181</v>
      </c>
      <c r="AK21" s="164">
        <f>AR28</f>
        <v>4.04</v>
      </c>
      <c r="AL21" s="108"/>
      <c r="AM21" s="491">
        <v>10</v>
      </c>
      <c r="AN21" s="162">
        <v>1</v>
      </c>
      <c r="AO21" s="108"/>
      <c r="AP21" s="174" t="s">
        <v>468</v>
      </c>
      <c r="AQ21" s="172">
        <v>7.38</v>
      </c>
      <c r="AR21" s="172">
        <f t="shared" si="54"/>
        <v>10.430000000000003</v>
      </c>
      <c r="AS21" s="172">
        <v>6.77</v>
      </c>
      <c r="AT21" s="172">
        <f t="shared" si="43"/>
        <v>9.6499999999999968</v>
      </c>
      <c r="AU21" s="172">
        <v>6.29</v>
      </c>
      <c r="AV21" s="172">
        <f t="shared" si="44"/>
        <v>9.019999999999996</v>
      </c>
      <c r="AW21" s="172">
        <v>5.9</v>
      </c>
      <c r="AX21" s="172">
        <f t="shared" si="45"/>
        <v>5.7350000000000003</v>
      </c>
      <c r="AY21" s="172">
        <v>5.57</v>
      </c>
      <c r="AZ21" s="172">
        <f t="shared" si="46"/>
        <v>8.0000000000000053</v>
      </c>
      <c r="BA21" s="172">
        <v>5.3</v>
      </c>
      <c r="BB21" s="172">
        <f t="shared" si="53"/>
        <v>7.6999999999999993</v>
      </c>
      <c r="BC21" s="172">
        <v>5.0599999999999996</v>
      </c>
      <c r="BD21" s="18"/>
      <c r="BE21" s="18"/>
      <c r="BF21" s="18"/>
      <c r="BG21" s="18"/>
      <c r="BH21" s="18"/>
      <c r="BI21" s="18"/>
      <c r="BJ21" s="18"/>
      <c r="BK21" s="18"/>
      <c r="BM21" s="163" t="s">
        <v>188</v>
      </c>
      <c r="BN21" s="164">
        <f>BU28</f>
        <v>4.5950000000000006</v>
      </c>
      <c r="BO21" s="108"/>
      <c r="BP21" s="491">
        <v>20</v>
      </c>
      <c r="BQ21" s="492">
        <v>0.99</v>
      </c>
      <c r="BR21" s="108"/>
      <c r="BS21" s="174" t="s">
        <v>468</v>
      </c>
      <c r="BT21" s="172">
        <v>8.39</v>
      </c>
      <c r="BU21" s="169">
        <f t="shared" si="47"/>
        <v>11.840000000000003</v>
      </c>
      <c r="BV21" s="169">
        <v>7.7</v>
      </c>
      <c r="BW21" s="169">
        <f t="shared" si="48"/>
        <v>11</v>
      </c>
      <c r="BX21" s="169">
        <v>7.15</v>
      </c>
      <c r="BY21" s="169">
        <f t="shared" si="49"/>
        <v>10.23</v>
      </c>
      <c r="BZ21" s="169">
        <v>6.71</v>
      </c>
      <c r="CA21" s="169">
        <f t="shared" si="50"/>
        <v>6.5250000000000004</v>
      </c>
      <c r="CB21" s="169">
        <v>6.34</v>
      </c>
      <c r="CC21" s="169">
        <f t="shared" si="51"/>
        <v>9.2200000000000024</v>
      </c>
      <c r="CD21" s="169">
        <v>6.02</v>
      </c>
      <c r="CE21" s="169">
        <f t="shared" si="55"/>
        <v>8.7199999999999935</v>
      </c>
      <c r="CF21" s="169">
        <v>5.75</v>
      </c>
      <c r="CG21" s="18"/>
      <c r="CH21" s="18"/>
      <c r="CI21" s="18"/>
      <c r="CJ21" s="18"/>
      <c r="CK21" s="18"/>
      <c r="CL21" s="18"/>
      <c r="CM21" s="18"/>
      <c r="CN21" s="18"/>
    </row>
    <row r="22" spans="2:92" ht="20.149999999999999" customHeight="1" thickBot="1" x14ac:dyDescent="0.3">
      <c r="B22" s="292" t="s">
        <v>402</v>
      </c>
      <c r="C22" s="293" t="s">
        <v>0</v>
      </c>
      <c r="D22" s="681">
        <f>((1000/VLOOKUP('Bemessungstabelle unisoliert'!D13,Daten!A22:B25,2))*D10^4/H47^3)/COS($D$9*PI()/180)</f>
        <v>18.238026621367244</v>
      </c>
      <c r="E22" s="294"/>
      <c r="I22" s="107"/>
      <c r="J22" s="491">
        <v>30</v>
      </c>
      <c r="K22" s="162">
        <v>0.93</v>
      </c>
      <c r="L22" s="107"/>
      <c r="M22" s="174" t="s">
        <v>471</v>
      </c>
      <c r="N22" s="172">
        <v>5.44</v>
      </c>
      <c r="O22" s="169">
        <f>N22-(N22-P22)*($O$1-$N$1)/($P$1-$N$1)</f>
        <v>6.8900000000000006</v>
      </c>
      <c r="P22" s="169">
        <v>5.15</v>
      </c>
      <c r="Q22" s="169">
        <f t="shared" si="37"/>
        <v>6.5900000000000016</v>
      </c>
      <c r="R22" s="169">
        <v>4.91</v>
      </c>
      <c r="S22" s="169">
        <f t="shared" si="38"/>
        <v>6.240000000000002</v>
      </c>
      <c r="T22" s="169">
        <v>4.72</v>
      </c>
      <c r="U22" s="169">
        <f t="shared" si="39"/>
        <v>4.6349999999999998</v>
      </c>
      <c r="V22" s="169">
        <v>4.55</v>
      </c>
      <c r="W22" s="169">
        <f t="shared" si="40"/>
        <v>5.899999999999995</v>
      </c>
      <c r="X22" s="169">
        <v>4.4000000000000004</v>
      </c>
      <c r="Y22" s="169">
        <f t="shared" si="41"/>
        <v>5.7000000000000073</v>
      </c>
      <c r="Z22" s="169">
        <v>4.2699999999999996</v>
      </c>
      <c r="AA22" s="18"/>
      <c r="AB22" s="23"/>
      <c r="AD22" s="18"/>
      <c r="AE22" s="18"/>
      <c r="AF22" s="18"/>
      <c r="AG22" s="18"/>
      <c r="AH22" s="18"/>
      <c r="AJ22" s="163" t="s">
        <v>239</v>
      </c>
      <c r="AK22" s="164">
        <f>AK21*AK2*AK3*AK4*AK5*AK6</f>
        <v>3.9349599999999998</v>
      </c>
      <c r="AL22" s="107"/>
      <c r="AM22" s="491" t="str">
        <f>IF(AND($D$9&gt;AM21,$D$9&lt;AM23),$D$9,"nicht interpolieren")</f>
        <v>nicht interpolieren</v>
      </c>
      <c r="AN22" s="162" t="e">
        <f>AN21-(AN21-AN23)*(AM22-AM21)/(AM23-AM21)</f>
        <v>#VALUE!</v>
      </c>
      <c r="AO22" s="107"/>
      <c r="AP22" s="174" t="s">
        <v>471</v>
      </c>
      <c r="AQ22" s="172">
        <v>7.93</v>
      </c>
      <c r="AR22" s="172">
        <f>AQ22-(AQ22-AS22)*($O$1-$N$1)/($P$1-$N$1)</f>
        <v>11.08</v>
      </c>
      <c r="AS22" s="172">
        <v>7.3</v>
      </c>
      <c r="AT22" s="172">
        <f t="shared" si="43"/>
        <v>10.3</v>
      </c>
      <c r="AU22" s="172">
        <v>6.8</v>
      </c>
      <c r="AV22" s="172">
        <f t="shared" si="44"/>
        <v>9.6699999999999982</v>
      </c>
      <c r="AW22" s="172">
        <v>6.39</v>
      </c>
      <c r="AX22" s="172">
        <f t="shared" si="45"/>
        <v>6.22</v>
      </c>
      <c r="AY22" s="172">
        <v>6.05</v>
      </c>
      <c r="AZ22" s="172">
        <f t="shared" si="46"/>
        <v>8.66</v>
      </c>
      <c r="BA22" s="172">
        <v>5.76</v>
      </c>
      <c r="BB22" s="172">
        <f>BA22-(BA22-BC22)*($Y$1-$X$1)/($Z$1-$X$1)</f>
        <v>8.3599999999999959</v>
      </c>
      <c r="BC22" s="172">
        <v>5.5</v>
      </c>
      <c r="BD22" s="18"/>
      <c r="BE22" s="18"/>
      <c r="BF22" s="18"/>
      <c r="BG22" s="18"/>
      <c r="BH22" s="18"/>
      <c r="BI22" s="18"/>
      <c r="BJ22" s="18"/>
      <c r="BK22" s="18"/>
      <c r="BM22" s="163" t="s">
        <v>240</v>
      </c>
      <c r="BN22" s="164">
        <f>BN21*BN2*BN3*BN4*BN5*BN6</f>
        <v>45950.000000000007</v>
      </c>
      <c r="BO22" s="107"/>
      <c r="BP22" s="491" t="str">
        <f>IF(AND($D$9&gt;BP21,$D$9&lt;BP23),$D$9,"nicht interpolieren")</f>
        <v>nicht interpolieren</v>
      </c>
      <c r="BQ22" s="162" t="e">
        <f>BQ21-(BQ21-BQ23)*(BP22-BP21)/(BP23-BP21)</f>
        <v>#VALUE!</v>
      </c>
      <c r="BR22" s="107"/>
      <c r="BS22" s="174" t="s">
        <v>471</v>
      </c>
      <c r="BT22" s="172">
        <v>9.0299999999999994</v>
      </c>
      <c r="BU22" s="169">
        <f t="shared" si="47"/>
        <v>12.629999999999995</v>
      </c>
      <c r="BV22" s="169">
        <v>8.31</v>
      </c>
      <c r="BW22" s="169">
        <f t="shared" si="48"/>
        <v>11.730000000000002</v>
      </c>
      <c r="BX22" s="169">
        <v>7.74</v>
      </c>
      <c r="BY22" s="169">
        <f t="shared" si="49"/>
        <v>10.959999999999997</v>
      </c>
      <c r="BZ22" s="169">
        <v>7.28</v>
      </c>
      <c r="CA22" s="169">
        <f t="shared" si="50"/>
        <v>7.085</v>
      </c>
      <c r="CB22" s="169">
        <v>6.89</v>
      </c>
      <c r="CC22" s="169">
        <f t="shared" si="51"/>
        <v>9.9499999999999993</v>
      </c>
      <c r="CD22" s="169">
        <v>6.55</v>
      </c>
      <c r="CE22" s="169">
        <f>CD22-(CD22-CF22)*($Y$1-$X$1)/($Z$1-$X$1)</f>
        <v>9.4499999999999975</v>
      </c>
      <c r="CF22" s="169">
        <v>6.26</v>
      </c>
      <c r="CG22" s="18"/>
      <c r="CH22" s="18"/>
      <c r="CI22" s="18"/>
      <c r="CJ22" s="18"/>
      <c r="CK22" s="18"/>
      <c r="CL22" s="18"/>
      <c r="CM22" s="18"/>
      <c r="CN22" s="18"/>
    </row>
    <row r="23" spans="2:92" ht="20.149999999999999" customHeight="1" thickBot="1" x14ac:dyDescent="0.3">
      <c r="B23" s="16"/>
      <c r="C23" s="116"/>
      <c r="D23" s="117"/>
      <c r="E23" s="18"/>
      <c r="F23" s="17"/>
      <c r="I23" s="10"/>
      <c r="J23" s="10"/>
      <c r="K23" s="10"/>
      <c r="L23" s="10"/>
      <c r="M23" s="174" t="s">
        <v>477</v>
      </c>
      <c r="N23" s="172">
        <v>4.33</v>
      </c>
      <c r="O23" s="169">
        <f t="shared" si="56"/>
        <v>5.5300000000000011</v>
      </c>
      <c r="P23" s="169">
        <v>4.09</v>
      </c>
      <c r="Q23" s="169">
        <f t="shared" si="37"/>
        <v>5.2899999999999983</v>
      </c>
      <c r="R23" s="169">
        <v>3.89</v>
      </c>
      <c r="S23" s="169">
        <f t="shared" si="38"/>
        <v>5.01</v>
      </c>
      <c r="T23" s="169">
        <v>3.73</v>
      </c>
      <c r="U23" s="169">
        <f t="shared" si="39"/>
        <v>3.66</v>
      </c>
      <c r="V23" s="169">
        <v>3.59</v>
      </c>
      <c r="W23" s="169">
        <f t="shared" si="40"/>
        <v>4.6699999999999973</v>
      </c>
      <c r="X23" s="169">
        <v>3.47</v>
      </c>
      <c r="Y23" s="169">
        <f t="shared" si="41"/>
        <v>4.4700000000000006</v>
      </c>
      <c r="Z23" s="169">
        <v>3.37</v>
      </c>
      <c r="AA23" s="18"/>
      <c r="AB23" s="18"/>
      <c r="AD23" s="18"/>
      <c r="AE23" s="18"/>
      <c r="AF23" s="18"/>
      <c r="AG23" s="18"/>
      <c r="AH23" s="18"/>
      <c r="AL23" s="107"/>
      <c r="AM23" s="491">
        <v>20</v>
      </c>
      <c r="AN23" s="492">
        <v>0.98</v>
      </c>
      <c r="AO23" s="107"/>
      <c r="AP23" s="174" t="s">
        <v>477</v>
      </c>
      <c r="AQ23" s="172">
        <v>6.29</v>
      </c>
      <c r="AR23" s="172">
        <f>AQ23-(AQ23-AS23)*($O$1-$N$1)/($P$1-$N$1)</f>
        <v>8.8900000000000023</v>
      </c>
      <c r="AS23" s="172">
        <v>5.77</v>
      </c>
      <c r="AT23" s="172">
        <f t="shared" si="43"/>
        <v>8.2299999999999951</v>
      </c>
      <c r="AU23" s="172">
        <v>5.36</v>
      </c>
      <c r="AV23" s="172">
        <f t="shared" si="44"/>
        <v>7.6699999999999982</v>
      </c>
      <c r="AW23" s="172">
        <v>5.03</v>
      </c>
      <c r="AX23" s="172">
        <f t="shared" si="45"/>
        <v>4.8900000000000006</v>
      </c>
      <c r="AY23" s="172">
        <v>4.75</v>
      </c>
      <c r="AZ23" s="172">
        <f t="shared" si="46"/>
        <v>6.9100000000000019</v>
      </c>
      <c r="BA23" s="172">
        <v>4.51</v>
      </c>
      <c r="BB23" s="172">
        <f t="shared" si="53"/>
        <v>6.51</v>
      </c>
      <c r="BC23" s="172">
        <v>4.3099999999999996</v>
      </c>
      <c r="BD23" s="18"/>
      <c r="BE23" s="18"/>
      <c r="BF23" s="18"/>
      <c r="BG23" s="18"/>
      <c r="BH23" s="18"/>
      <c r="BI23" s="18"/>
      <c r="BJ23" s="18"/>
      <c r="BK23" s="18"/>
      <c r="BO23" s="107"/>
      <c r="BP23" s="491">
        <v>30</v>
      </c>
      <c r="BQ23" s="162">
        <v>0.98</v>
      </c>
      <c r="BR23" s="107"/>
      <c r="BS23" s="174" t="s">
        <v>477</v>
      </c>
      <c r="BT23" s="172">
        <v>7.16</v>
      </c>
      <c r="BU23" s="169">
        <f t="shared" si="47"/>
        <v>10.160000000000004</v>
      </c>
      <c r="BV23" s="169">
        <v>6.56</v>
      </c>
      <c r="BW23" s="169">
        <f t="shared" si="48"/>
        <v>9.379999999999999</v>
      </c>
      <c r="BX23" s="169">
        <v>6.09</v>
      </c>
      <c r="BY23" s="169">
        <f t="shared" si="49"/>
        <v>8.6099999999999941</v>
      </c>
      <c r="BZ23" s="169">
        <v>5.73</v>
      </c>
      <c r="CA23" s="169">
        <f t="shared" si="50"/>
        <v>5.5650000000000004</v>
      </c>
      <c r="CB23" s="169">
        <v>5.4</v>
      </c>
      <c r="CC23" s="169">
        <f t="shared" si="51"/>
        <v>7.8300000000000054</v>
      </c>
      <c r="CD23" s="169">
        <v>5.13</v>
      </c>
      <c r="CE23" s="169">
        <f t="shared" si="55"/>
        <v>7.4299999999999926</v>
      </c>
      <c r="CF23" s="169">
        <v>4.9000000000000004</v>
      </c>
      <c r="CG23" s="18"/>
      <c r="CH23" s="18"/>
      <c r="CI23" s="18"/>
      <c r="CJ23" s="18"/>
      <c r="CK23" s="18"/>
      <c r="CL23" s="18"/>
      <c r="CM23" s="18"/>
      <c r="CN23" s="18"/>
    </row>
    <row r="24" spans="2:92" ht="20.149999999999999" customHeight="1" x14ac:dyDescent="0.25">
      <c r="B24" s="239" t="s">
        <v>236</v>
      </c>
      <c r="C24" s="240"/>
      <c r="D24" s="241"/>
      <c r="E24" s="242"/>
      <c r="F24" s="17"/>
      <c r="M24" s="174" t="s">
        <v>478</v>
      </c>
      <c r="N24" s="172">
        <v>4.7300000000000004</v>
      </c>
      <c r="O24" s="169">
        <f t="shared" si="56"/>
        <v>6.0300000000000038</v>
      </c>
      <c r="P24" s="169">
        <v>4.47</v>
      </c>
      <c r="Q24" s="169">
        <f t="shared" si="37"/>
        <v>5.6700000000000008</v>
      </c>
      <c r="R24" s="169">
        <v>4.2699999999999996</v>
      </c>
      <c r="S24" s="169">
        <f t="shared" si="38"/>
        <v>5.4599999999999982</v>
      </c>
      <c r="T24" s="169">
        <v>4.0999999999999996</v>
      </c>
      <c r="U24" s="169">
        <f t="shared" si="39"/>
        <v>4.0250000000000004</v>
      </c>
      <c r="V24" s="169">
        <v>3.95</v>
      </c>
      <c r="W24" s="169">
        <f t="shared" si="40"/>
        <v>5.1200000000000037</v>
      </c>
      <c r="X24" s="169">
        <v>3.82</v>
      </c>
      <c r="Y24" s="169">
        <f t="shared" si="41"/>
        <v>4.9199999999999982</v>
      </c>
      <c r="Z24" s="169">
        <v>3.71</v>
      </c>
      <c r="AA24" s="18"/>
      <c r="AB24" s="18"/>
      <c r="AD24" s="18"/>
      <c r="AE24" s="18"/>
      <c r="AF24" s="18"/>
      <c r="AG24" s="18"/>
      <c r="AH24" s="18"/>
      <c r="AL24" s="107"/>
      <c r="AM24" s="491" t="str">
        <f>IF(AND($D$9&gt;AM23,$D$9&lt;AM25),$D$9,"nicht interpolieren")</f>
        <v>nicht interpolieren</v>
      </c>
      <c r="AN24" s="162" t="e">
        <f>AN23-(AN23-AN25)*(AM24-AM23)/(AM25-AM23)</f>
        <v>#VALUE!</v>
      </c>
      <c r="AO24" s="107"/>
      <c r="AP24" s="174" t="s">
        <v>478</v>
      </c>
      <c r="AQ24" s="172">
        <v>6.99</v>
      </c>
      <c r="AR24" s="172">
        <f t="shared" si="54"/>
        <v>9.7900000000000027</v>
      </c>
      <c r="AS24" s="172">
        <v>6.43</v>
      </c>
      <c r="AT24" s="172">
        <f t="shared" si="43"/>
        <v>9.0699999999999967</v>
      </c>
      <c r="AU24" s="172">
        <v>5.99</v>
      </c>
      <c r="AV24" s="172">
        <f t="shared" si="44"/>
        <v>8.51</v>
      </c>
      <c r="AW24" s="172">
        <v>5.63</v>
      </c>
      <c r="AX24" s="172">
        <f t="shared" si="45"/>
        <v>5.48</v>
      </c>
      <c r="AY24" s="172">
        <v>5.33</v>
      </c>
      <c r="AZ24" s="172">
        <f t="shared" si="46"/>
        <v>7.6699999999999982</v>
      </c>
      <c r="BA24" s="172">
        <v>5.07</v>
      </c>
      <c r="BB24" s="172">
        <f t="shared" si="53"/>
        <v>7.2700000000000049</v>
      </c>
      <c r="BC24" s="172">
        <v>4.8499999999999996</v>
      </c>
      <c r="BD24" s="18"/>
      <c r="BE24" s="18"/>
      <c r="BF24" s="18"/>
      <c r="BG24" s="18"/>
      <c r="BH24" s="18"/>
      <c r="BI24" s="18"/>
      <c r="BJ24" s="18"/>
      <c r="BK24" s="18"/>
      <c r="BO24" s="107"/>
      <c r="BP24" s="107"/>
      <c r="BQ24" s="107"/>
      <c r="BR24" s="107"/>
      <c r="BS24" s="174" t="s">
        <v>478</v>
      </c>
      <c r="BT24" s="172">
        <v>7.96</v>
      </c>
      <c r="BU24" s="169">
        <f t="shared" si="47"/>
        <v>11.11</v>
      </c>
      <c r="BV24" s="169">
        <v>7.33</v>
      </c>
      <c r="BW24" s="169">
        <f t="shared" si="48"/>
        <v>10.39</v>
      </c>
      <c r="BX24" s="169">
        <v>6.82</v>
      </c>
      <c r="BY24" s="169">
        <f t="shared" si="49"/>
        <v>9.6899999999999977</v>
      </c>
      <c r="BZ24" s="169">
        <v>6.41</v>
      </c>
      <c r="CA24" s="169">
        <f t="shared" si="50"/>
        <v>6.2350000000000003</v>
      </c>
      <c r="CB24" s="169">
        <v>6.06</v>
      </c>
      <c r="CC24" s="169">
        <f t="shared" si="51"/>
        <v>8.6700000000000017</v>
      </c>
      <c r="CD24" s="169">
        <v>5.77</v>
      </c>
      <c r="CE24" s="169">
        <f t="shared" si="55"/>
        <v>8.3699999999999957</v>
      </c>
      <c r="CF24" s="169">
        <v>5.51</v>
      </c>
      <c r="CG24" s="18"/>
      <c r="CH24" s="18"/>
      <c r="CI24" s="18"/>
      <c r="CJ24" s="18"/>
      <c r="CK24" s="18"/>
      <c r="CL24" s="18"/>
      <c r="CM24" s="18"/>
      <c r="CN24" s="18"/>
    </row>
    <row r="25" spans="2:92" ht="20.149999999999999" customHeight="1" thickBot="1" x14ac:dyDescent="0.3">
      <c r="B25" s="262" t="s">
        <v>212</v>
      </c>
      <c r="C25" s="243" t="s">
        <v>0</v>
      </c>
      <c r="D25" s="265">
        <v>4</v>
      </c>
      <c r="E25" s="244"/>
      <c r="F25" s="17"/>
      <c r="M25" s="624" t="s">
        <v>483</v>
      </c>
      <c r="N25" s="172">
        <v>4.78</v>
      </c>
      <c r="O25" s="169">
        <f t="shared" si="56"/>
        <v>6.1300000000000026</v>
      </c>
      <c r="P25" s="169">
        <v>4.51</v>
      </c>
      <c r="Q25" s="169">
        <f t="shared" si="37"/>
        <v>5.8299999999999983</v>
      </c>
      <c r="R25" s="169">
        <v>4.29</v>
      </c>
      <c r="S25" s="169">
        <f t="shared" si="38"/>
        <v>5.5499999999999972</v>
      </c>
      <c r="T25" s="169">
        <v>4.1100000000000003</v>
      </c>
      <c r="U25" s="169">
        <f t="shared" si="39"/>
        <v>4.0350000000000001</v>
      </c>
      <c r="V25" s="169">
        <v>3.96</v>
      </c>
      <c r="W25" s="169">
        <f t="shared" si="40"/>
        <v>5.2200000000000015</v>
      </c>
      <c r="X25" s="169">
        <v>3.82</v>
      </c>
      <c r="Y25" s="169">
        <f t="shared" si="41"/>
        <v>4.9199999999999982</v>
      </c>
      <c r="Z25" s="169">
        <v>3.71</v>
      </c>
      <c r="AA25" s="23"/>
      <c r="AB25" s="23"/>
      <c r="AD25" s="23"/>
      <c r="AE25" s="23"/>
      <c r="AF25" s="23"/>
      <c r="AG25" s="23"/>
      <c r="AH25" s="23"/>
      <c r="AL25" s="107"/>
      <c r="AM25" s="491">
        <v>30</v>
      </c>
      <c r="AN25" s="162">
        <v>0.96</v>
      </c>
      <c r="AO25" s="107"/>
      <c r="AP25" s="624" t="s">
        <v>483</v>
      </c>
      <c r="AQ25" s="172">
        <v>6.1</v>
      </c>
      <c r="AR25" s="172">
        <f>AQ25-(AQ25-AS25)*($O$1-$N$1)/($P$1-$N$1)</f>
        <v>8.6999999999999975</v>
      </c>
      <c r="AS25" s="172">
        <v>5.58</v>
      </c>
      <c r="AT25" s="172">
        <f t="shared" si="43"/>
        <v>7.9800000000000022</v>
      </c>
      <c r="AU25" s="172">
        <v>5.18</v>
      </c>
      <c r="AV25" s="172">
        <f t="shared" si="44"/>
        <v>7.4199999999999928</v>
      </c>
      <c r="AW25" s="172">
        <v>4.8600000000000003</v>
      </c>
      <c r="AX25" s="172">
        <f t="shared" si="45"/>
        <v>4.7200000000000006</v>
      </c>
      <c r="AY25" s="172">
        <v>4.58</v>
      </c>
      <c r="AZ25" s="172">
        <f t="shared" si="46"/>
        <v>6.6500000000000039</v>
      </c>
      <c r="BA25" s="172">
        <v>4.3499999999999996</v>
      </c>
      <c r="BB25" s="172">
        <f>BA25-(BA25-BC25)*($Y$1-$X$1)/($Z$1-$X$1)</f>
        <v>6.2499999999999929</v>
      </c>
      <c r="BC25" s="172">
        <v>4.16</v>
      </c>
      <c r="BD25" s="23"/>
      <c r="BE25" s="23"/>
      <c r="BF25" s="23"/>
      <c r="BG25" s="23"/>
      <c r="BH25" s="23"/>
      <c r="BI25" s="23"/>
      <c r="BJ25" s="23"/>
      <c r="BK25" s="23"/>
      <c r="BO25" s="107"/>
      <c r="BP25" s="107"/>
      <c r="BQ25" s="107"/>
      <c r="BR25" s="107"/>
      <c r="BS25" s="624" t="s">
        <v>483</v>
      </c>
      <c r="BT25" s="172">
        <v>6.93</v>
      </c>
      <c r="BU25" s="169">
        <f t="shared" si="47"/>
        <v>9.83</v>
      </c>
      <c r="BV25" s="169">
        <v>6.35</v>
      </c>
      <c r="BW25" s="169">
        <f t="shared" si="48"/>
        <v>9.11</v>
      </c>
      <c r="BX25" s="169">
        <v>5.89</v>
      </c>
      <c r="BY25" s="169">
        <f t="shared" si="49"/>
        <v>8.4799999999999986</v>
      </c>
      <c r="BZ25" s="169">
        <v>5.52</v>
      </c>
      <c r="CA25" s="169">
        <f t="shared" si="50"/>
        <v>5.3650000000000002</v>
      </c>
      <c r="CB25" s="169">
        <v>5.21</v>
      </c>
      <c r="CC25" s="169">
        <f t="shared" si="51"/>
        <v>7.5499999999999989</v>
      </c>
      <c r="CD25" s="169">
        <v>4.95</v>
      </c>
      <c r="CE25" s="169">
        <f>CD25-(CD25-CF25)*($Y$1-$X$1)/($Z$1-$X$1)</f>
        <v>7.2500000000000018</v>
      </c>
      <c r="CF25" s="169">
        <v>4.72</v>
      </c>
      <c r="CH25" s="23"/>
      <c r="CI25" s="23"/>
      <c r="CJ25" s="23"/>
      <c r="CK25" s="23"/>
      <c r="CL25" s="23"/>
      <c r="CM25" s="23"/>
      <c r="CN25" s="23"/>
    </row>
    <row r="26" spans="2:92" ht="20.149999999999999" customHeight="1" x14ac:dyDescent="0.25">
      <c r="B26" s="263" t="s">
        <v>29</v>
      </c>
      <c r="C26" s="245" t="s">
        <v>0</v>
      </c>
      <c r="D26" s="668" t="s">
        <v>554</v>
      </c>
      <c r="E26" s="244"/>
      <c r="F26" s="17"/>
      <c r="AA26" s="23"/>
      <c r="AB26" s="23"/>
      <c r="AD26" s="23"/>
      <c r="AE26" s="23"/>
      <c r="AF26" s="23"/>
      <c r="AG26" s="23"/>
      <c r="AH26" s="23"/>
      <c r="AL26" s="10"/>
      <c r="AM26" s="10"/>
      <c r="AN26" s="10"/>
      <c r="AO26" s="10"/>
      <c r="BD26" s="23"/>
      <c r="BE26" s="23"/>
      <c r="BF26" s="23"/>
      <c r="BG26" s="23"/>
      <c r="BH26" s="23"/>
      <c r="BI26" s="23"/>
      <c r="BJ26" s="23"/>
      <c r="BK26" s="23"/>
      <c r="BO26" s="10"/>
      <c r="BP26" s="10"/>
      <c r="BQ26" s="10"/>
      <c r="BR26" s="10"/>
      <c r="CH26" s="23"/>
      <c r="CI26" s="23"/>
      <c r="CJ26" s="23"/>
      <c r="CK26" s="23"/>
      <c r="CL26" s="23"/>
      <c r="CM26" s="23"/>
      <c r="CN26" s="23"/>
    </row>
    <row r="27" spans="2:92" ht="20.149999999999999" customHeight="1" thickBot="1" x14ac:dyDescent="0.3">
      <c r="B27" s="263" t="s">
        <v>90</v>
      </c>
      <c r="C27" s="245" t="s">
        <v>0</v>
      </c>
      <c r="D27" s="668" t="s">
        <v>88</v>
      </c>
      <c r="E27" s="746" t="s">
        <v>565</v>
      </c>
      <c r="F27" s="17"/>
      <c r="M27" s="175" t="s">
        <v>10</v>
      </c>
      <c r="N27" s="175" t="s">
        <v>17</v>
      </c>
      <c r="O27" s="176" t="s">
        <v>21</v>
      </c>
      <c r="AA27" s="23"/>
      <c r="AB27" s="23"/>
      <c r="AC27" s="23"/>
      <c r="AD27" s="23"/>
      <c r="AE27" s="23"/>
      <c r="AF27" s="23"/>
      <c r="AG27" s="23"/>
      <c r="AH27" s="23"/>
      <c r="AP27" s="175" t="s">
        <v>10</v>
      </c>
      <c r="AQ27" s="175" t="s">
        <v>17</v>
      </c>
      <c r="AR27" s="176" t="s">
        <v>21</v>
      </c>
      <c r="BD27" s="23"/>
      <c r="BE27" s="23"/>
      <c r="BF27" s="23"/>
      <c r="BG27" s="23"/>
      <c r="BH27" s="23"/>
      <c r="BI27" s="23"/>
      <c r="BJ27" s="23"/>
      <c r="BK27" s="23"/>
      <c r="BS27" s="175" t="s">
        <v>10</v>
      </c>
      <c r="BT27" s="175" t="s">
        <v>17</v>
      </c>
      <c r="BU27" s="176" t="s">
        <v>21</v>
      </c>
      <c r="CH27" s="23"/>
      <c r="CI27" s="23"/>
      <c r="CJ27" s="23"/>
      <c r="CK27" s="23"/>
      <c r="CL27" s="23"/>
      <c r="CM27" s="23"/>
      <c r="CN27" s="23"/>
    </row>
    <row r="28" spans="2:92" ht="20.149999999999999" customHeight="1" thickBot="1" x14ac:dyDescent="0.3">
      <c r="B28" s="264">
        <f>D25</f>
        <v>4</v>
      </c>
      <c r="C28" s="182" t="str">
        <f>IF(B28&lt;D28,"&lt;","&gt;")</f>
        <v>&lt;</v>
      </c>
      <c r="D28" s="184">
        <f>MIN(H61,AK66,BN66)</f>
        <v>6.3679146000000006</v>
      </c>
      <c r="E28" s="244"/>
      <c r="F28" s="17"/>
      <c r="G28" s="776" t="s">
        <v>217</v>
      </c>
      <c r="H28" s="777"/>
      <c r="M28" s="175">
        <f>IF($D$11="","",MATCH($D$11,M2:M25))</f>
        <v>9</v>
      </c>
      <c r="N28" s="175">
        <f>IF($D$12="","",MATCH($D$12,N1:Z1,0))</f>
        <v>8</v>
      </c>
      <c r="O28" s="177">
        <f>IF(OR(D11="",D12=""),0,INDEX(N2:Z25,M28,N28))</f>
        <v>3.2800000000000002</v>
      </c>
      <c r="AP28" s="175">
        <f>IF($D$11="","",MATCH($D$11,AP2:AP25))</f>
        <v>9</v>
      </c>
      <c r="AQ28" s="175">
        <f>IF($D$12="","",MATCH($D$12,AQ1:BC1,0))</f>
        <v>8</v>
      </c>
      <c r="AR28" s="177">
        <f>IF(OR(D11="",D12=""),0,INDEX(AQ2:BC25,AP28,AQ28))</f>
        <v>4.04</v>
      </c>
      <c r="BS28" s="175">
        <f>IF($D$11="","",MATCH($D$11,BS2:BS25))</f>
        <v>9</v>
      </c>
      <c r="BT28" s="175">
        <f>IF($D$12="","",MATCH($D$12,BT1:CF1,0))</f>
        <v>8</v>
      </c>
      <c r="BU28" s="177">
        <f>IF(OR(D11="",D12=""),0,INDEX(BT2:CF25,BS28,BT28))</f>
        <v>4.5950000000000006</v>
      </c>
    </row>
    <row r="29" spans="2:92" ht="20.149999999999999" customHeight="1" x14ac:dyDescent="0.25">
      <c r="B29" s="263"/>
      <c r="C29" s="183"/>
      <c r="D29" s="266" t="str">
        <f>IF(B28&gt;D28,"Bedingung nicht erfüllt!","Bedingung erfüllt!")</f>
        <v>Bedingung erfüllt!</v>
      </c>
      <c r="E29" s="244"/>
      <c r="F29" s="17"/>
      <c r="G29" s="131" t="s">
        <v>191</v>
      </c>
      <c r="H29" s="517">
        <f>H2</f>
        <v>1</v>
      </c>
    </row>
    <row r="30" spans="2:92" ht="20.149999999999999" customHeight="1" thickBot="1" x14ac:dyDescent="0.3">
      <c r="B30" s="593" t="s">
        <v>402</v>
      </c>
      <c r="C30" s="592" t="s">
        <v>0</v>
      </c>
      <c r="D30" s="682">
        <f>(1000/VLOOKUP('Bemessungstabelle unisoliert'!D27,Daten!A22:B25,2))*D25^4/H61^3</f>
        <v>3.8694627709103862</v>
      </c>
      <c r="E30" s="244"/>
      <c r="G30" s="132" t="s">
        <v>192</v>
      </c>
      <c r="H30" s="518">
        <f>H3</f>
        <v>0.98199999999999998</v>
      </c>
    </row>
    <row r="31" spans="2:92" ht="20.149999999999999" customHeight="1" thickBot="1" x14ac:dyDescent="0.3">
      <c r="B31" s="590" t="s">
        <v>449</v>
      </c>
      <c r="C31" s="747" t="s">
        <v>0</v>
      </c>
      <c r="D31" s="683">
        <f>D25*1000/VLOOKUP($D$27,Daten!$A$22:$B$25,2)</f>
        <v>16</v>
      </c>
      <c r="E31" s="246"/>
      <c r="G31" s="132" t="s">
        <v>193</v>
      </c>
      <c r="H31" s="518">
        <f>H4</f>
        <v>1</v>
      </c>
      <c r="J31" s="18"/>
      <c r="M31" s="140" t="s">
        <v>195</v>
      </c>
      <c r="N31" s="136">
        <v>0.5</v>
      </c>
      <c r="O31" s="136">
        <f>IF(AND($D$12&gt;0.5,$D$12&lt;0.6),$D$12,0)</f>
        <v>0</v>
      </c>
      <c r="P31" s="136">
        <v>0.6</v>
      </c>
      <c r="Q31" s="136">
        <f>IF(AND($D$12&gt;0.6,$D$12&lt;0.7),$D$12,0)</f>
        <v>0</v>
      </c>
      <c r="R31" s="136">
        <v>0.7</v>
      </c>
      <c r="S31" s="136">
        <f>IF(AND($D$12&gt;0.7,$D$12&lt;0.8),$D$12,0)</f>
        <v>0</v>
      </c>
      <c r="T31" s="136">
        <v>0.8</v>
      </c>
      <c r="U31" s="136">
        <f>IF(AND($D$12&gt;0.8,$D$12&lt;0.9),$D$12,0)</f>
        <v>0.85</v>
      </c>
      <c r="V31" s="136">
        <v>0.9</v>
      </c>
      <c r="W31" s="136">
        <f>IF(AND($D$12&gt;0.9,$D$12&lt;1),$D$12,0)</f>
        <v>0</v>
      </c>
      <c r="X31" s="136">
        <v>1</v>
      </c>
      <c r="Y31" s="136">
        <f>IF(AND($D$12&gt;1,$D$12&lt;1.1),$D$12,0)</f>
        <v>0</v>
      </c>
      <c r="Z31" s="141">
        <v>1.1000000000000001</v>
      </c>
      <c r="AA31" s="23"/>
      <c r="AB31" s="23"/>
      <c r="AC31" s="23"/>
      <c r="AD31" s="23"/>
      <c r="AE31" s="23"/>
      <c r="AF31" s="23"/>
      <c r="AG31" s="23"/>
      <c r="AH31" s="23"/>
      <c r="AJ31" s="723" t="s">
        <v>7</v>
      </c>
      <c r="AK31" s="722"/>
      <c r="AP31" s="140" t="s">
        <v>196</v>
      </c>
      <c r="AQ31" s="136">
        <v>0.5</v>
      </c>
      <c r="AR31" s="136">
        <f>IF(AND($D$12&gt;0.5,$D$12&lt;0.6),$D$12,0)</f>
        <v>0</v>
      </c>
      <c r="AS31" s="136">
        <v>0.6</v>
      </c>
      <c r="AT31" s="136">
        <f>IF(AND($D$12&gt;0.6,$D$12&lt;0.7),$D$12,0)</f>
        <v>0</v>
      </c>
      <c r="AU31" s="136">
        <v>0.7</v>
      </c>
      <c r="AV31" s="136">
        <f>IF(AND($D$12&gt;0.7,$D$12&lt;0.8),$D$12,0)</f>
        <v>0</v>
      </c>
      <c r="AW31" s="136">
        <v>0.8</v>
      </c>
      <c r="AX31" s="136">
        <f>IF(AND($D$12&gt;0.8,$D$12&lt;0.9),$D$12,0)</f>
        <v>0.85</v>
      </c>
      <c r="AY31" s="136">
        <v>0.9</v>
      </c>
      <c r="AZ31" s="136">
        <f>IF(AND($D$12&gt;0.9,$D$12&lt;1),$D$12,0)</f>
        <v>0</v>
      </c>
      <c r="BA31" s="136">
        <v>1</v>
      </c>
      <c r="BB31" s="136">
        <f>IF(AND($D$12&gt;1,$D$12&lt;1.1),$D$12,0)</f>
        <v>0</v>
      </c>
      <c r="BC31" s="141">
        <v>1.1000000000000001</v>
      </c>
      <c r="BD31" s="23"/>
      <c r="BE31" s="23"/>
      <c r="BF31" s="23"/>
      <c r="BG31" s="23"/>
      <c r="BH31" s="23"/>
      <c r="BI31" s="23"/>
      <c r="BJ31" s="23"/>
      <c r="BK31" s="23"/>
      <c r="BM31" s="723" t="s">
        <v>7</v>
      </c>
      <c r="BN31" s="722"/>
      <c r="BS31" s="140" t="s">
        <v>202</v>
      </c>
      <c r="BT31" s="136">
        <v>0.5</v>
      </c>
      <c r="BU31" s="136">
        <f>IF(AND($D$12&gt;0.5,$D$12&lt;0.6),$D$12,0)</f>
        <v>0</v>
      </c>
      <c r="BV31" s="136">
        <v>0.6</v>
      </c>
      <c r="BW31" s="136">
        <f>IF(AND($D$12&gt;0.6,$D$12&lt;0.7),$D$12,0)</f>
        <v>0</v>
      </c>
      <c r="BX31" s="136">
        <v>0.7</v>
      </c>
      <c r="BY31" s="136">
        <f>IF(AND($D$12&gt;0.7,$D$12&lt;0.8),$D$12,0)</f>
        <v>0</v>
      </c>
      <c r="BZ31" s="136">
        <v>0.8</v>
      </c>
      <c r="CA31" s="136">
        <f>IF(AND($D$12&gt;0.8,$D$12&lt;0.9),$D$12,0)</f>
        <v>0.85</v>
      </c>
      <c r="CB31" s="136">
        <v>0.9</v>
      </c>
      <c r="CC31" s="136">
        <f>IF(AND($D$12&gt;0.9,$D$12&lt;1),$D$12,0)</f>
        <v>0</v>
      </c>
      <c r="CD31" s="136">
        <v>1</v>
      </c>
      <c r="CE31" s="136">
        <f>IF(AND($D$12&gt;1,$D$12&lt;1.1),$D$12,0)</f>
        <v>0</v>
      </c>
      <c r="CF31" s="141">
        <v>1.1000000000000001</v>
      </c>
      <c r="CG31" s="23"/>
      <c r="CH31" s="23"/>
      <c r="CI31" s="23"/>
      <c r="CJ31" s="23"/>
      <c r="CK31" s="23"/>
      <c r="CL31" s="23"/>
      <c r="CM31" s="23"/>
      <c r="CN31" s="23"/>
    </row>
    <row r="32" spans="2:92" ht="20.149999999999999" customHeight="1" x14ac:dyDescent="0.25">
      <c r="B32" s="671" t="s">
        <v>440</v>
      </c>
      <c r="C32" s="240"/>
      <c r="D32" s="240"/>
      <c r="E32" s="242"/>
      <c r="G32" s="133" t="s">
        <v>194</v>
      </c>
      <c r="H32" s="518">
        <f>H5</f>
        <v>1</v>
      </c>
      <c r="J32" s="18"/>
      <c r="M32" s="625" t="s">
        <v>54</v>
      </c>
      <c r="N32" s="143">
        <f>N2*1.18</f>
        <v>4.0709999999999997</v>
      </c>
      <c r="O32" s="137">
        <f t="shared" ref="O32:O49" si="57">N32-(N32-P32)*($O$31-$N$31)/($P$31-$N$31)</f>
        <v>5.2509999999999986</v>
      </c>
      <c r="P32" s="144">
        <f>P2*1.18</f>
        <v>3.835</v>
      </c>
      <c r="Q32" s="137">
        <f t="shared" ref="Q32:Q49" si="58">P32-(P32-R32)*($Q$31-$P$31)/($R$31-$P$31)</f>
        <v>4.8970000000000002</v>
      </c>
      <c r="R32" s="144">
        <f>R2*1.18</f>
        <v>3.6579999999999999</v>
      </c>
      <c r="S32" s="137">
        <f t="shared" ref="S32:S49" si="59">R32-(R32-T32)*($S$31-$R$31)/($T$31-$R$31)</f>
        <v>4.8143999999999991</v>
      </c>
      <c r="T32" s="144">
        <f>T2*1.18</f>
        <v>3.4927999999999999</v>
      </c>
      <c r="U32" s="137">
        <f t="shared" ref="U32:U49" si="60">T32-(T32-V32)*($U$31-$T$31)/($V$31-$T$31)</f>
        <v>3.4279000000000002</v>
      </c>
      <c r="V32" s="144">
        <f>V2*1.18</f>
        <v>3.363</v>
      </c>
      <c r="W32" s="137">
        <f t="shared" ref="W32:W49" si="61">V32-(V32-X32)*($W$31-$V$31)/($X$31-$V$31)</f>
        <v>4.4250000000000034</v>
      </c>
      <c r="X32" s="144">
        <f>X2*1.18</f>
        <v>3.2449999999999997</v>
      </c>
      <c r="Y32" s="137">
        <f t="shared" ref="Y32:Y49" si="62">X32-(X32-Z32)*($Y$31-$X$31)/($Z$31-$X$31)</f>
        <v>4.1889999999999965</v>
      </c>
      <c r="Z32" s="144">
        <f>Z2*1.18</f>
        <v>3.1505999999999998</v>
      </c>
      <c r="AA32" s="23"/>
      <c r="AB32" s="23"/>
      <c r="AD32" s="23"/>
      <c r="AE32" s="23"/>
      <c r="AF32" s="23"/>
      <c r="AG32" s="23"/>
      <c r="AH32" s="23"/>
      <c r="AJ32" s="131" t="s">
        <v>197</v>
      </c>
      <c r="AK32" s="517">
        <f>AK2</f>
        <v>1</v>
      </c>
      <c r="AP32" s="142" t="s">
        <v>54</v>
      </c>
      <c r="AQ32" s="143">
        <f>AQ2*1.18</f>
        <v>4.6019999999999994</v>
      </c>
      <c r="AR32" s="137">
        <f t="shared" ref="AR32:AR49" si="63">AQ32-(AQ32-AS32)*($O$31-$N$31)/($P$31-$N$31)</f>
        <v>6.4899999999999967</v>
      </c>
      <c r="AS32" s="144">
        <f>AS2*1.18</f>
        <v>4.2244000000000002</v>
      </c>
      <c r="AT32" s="137">
        <f t="shared" ref="AT32:AT49" si="64">AS32-(AS32-AU32)*($Q$31-$P$31)/($R$31-$P$31)</f>
        <v>6.0652000000000026</v>
      </c>
      <c r="AU32" s="144">
        <f>AU2*1.18</f>
        <v>3.9175999999999997</v>
      </c>
      <c r="AV32" s="137">
        <f t="shared" ref="AV32:AV49" si="65">AU32-(AU32-AW32)*($S$31-$R$31)/($T$31-$R$31)</f>
        <v>5.6521999999999997</v>
      </c>
      <c r="AW32" s="144">
        <f>AW2*1.18</f>
        <v>3.6697999999999995</v>
      </c>
      <c r="AX32" s="137">
        <f t="shared" ref="AX32:AX49" si="66">AW32-(AW32-AY32)*($U$31-$T$31)/($V$31-$T$31)</f>
        <v>3.5635999999999997</v>
      </c>
      <c r="AY32" s="144">
        <f>AY2*1.18</f>
        <v>3.4573999999999998</v>
      </c>
      <c r="AZ32" s="137">
        <f t="shared" ref="AZ32:AZ49" si="67">AY32-(AY32-BA32)*($W$31-$V$31)/($X$31-$V$31)</f>
        <v>5.0504000000000007</v>
      </c>
      <c r="BA32" s="144">
        <f>BA2*1.18</f>
        <v>3.2803999999999998</v>
      </c>
      <c r="BB32" s="137">
        <f t="shared" ref="BB32:BB49" si="68">BA32-(BA32-BC32)*($Y$31-$X$31)/($Z$31-$X$31)</f>
        <v>4.8143999999999982</v>
      </c>
      <c r="BC32" s="144">
        <f>BC2*1.18</f>
        <v>3.1269999999999998</v>
      </c>
      <c r="BD32" s="23"/>
      <c r="BE32" s="23"/>
      <c r="BF32" s="23"/>
      <c r="BG32" s="23"/>
      <c r="BH32" s="23"/>
      <c r="BI32" s="23"/>
      <c r="BJ32" s="23"/>
      <c r="BK32" s="23"/>
      <c r="BM32" s="131" t="s">
        <v>203</v>
      </c>
      <c r="BN32" s="517">
        <f>BN2</f>
        <v>1</v>
      </c>
      <c r="BS32" s="142" t="s">
        <v>54</v>
      </c>
      <c r="BT32" s="143">
        <f>BT2*1.18</f>
        <v>5.2392000000000003</v>
      </c>
      <c r="BU32" s="137">
        <f t="shared" ref="BU32:BU49" si="69">BT32-(BT32-BV32)*($O$31-$N$31)/($P$31-$N$31)</f>
        <v>7.4222000000000019</v>
      </c>
      <c r="BV32" s="144">
        <f>BV2*1.18</f>
        <v>4.8026</v>
      </c>
      <c r="BW32" s="137">
        <f t="shared" ref="BW32:BW49" si="70">BV32-(BV32-BX32)*($Q$31-$P$31)/($R$31-$P$31)</f>
        <v>6.9266000000000005</v>
      </c>
      <c r="BX32" s="144">
        <f>BX2*1.18</f>
        <v>4.4485999999999999</v>
      </c>
      <c r="BY32" s="137">
        <f t="shared" ref="BY32:BY49" si="71">BX32-(BX32-BZ32)*($S$31-$R$31)/($T$31-$R$31)</f>
        <v>6.4309999999999974</v>
      </c>
      <c r="BZ32" s="144">
        <f>BZ2*1.18</f>
        <v>4.1654</v>
      </c>
      <c r="CA32" s="137">
        <f t="shared" ref="CA32:CA49" si="72">BZ32-(BZ32-CB32)*($U$31-$T$31)/($V$31-$T$31)</f>
        <v>4.0473999999999997</v>
      </c>
      <c r="CB32" s="144">
        <f>CB2*1.18</f>
        <v>3.9293999999999998</v>
      </c>
      <c r="CC32" s="137">
        <f t="shared" ref="CC32:CC49" si="73">CB32-(CB32-CD32)*($W$31-$V$31)/($X$31-$V$31)</f>
        <v>5.7347999999999972</v>
      </c>
      <c r="CD32" s="144">
        <f>CD2*1.18</f>
        <v>3.7288000000000001</v>
      </c>
      <c r="CE32" s="137">
        <f t="shared" ref="CE32:CE49" si="74">CD32-(CD32-CF32)*($Y$31-$X$31)/($Z$31-$X$31)</f>
        <v>5.3808000000000034</v>
      </c>
      <c r="CF32" s="144">
        <f>CF2*1.18</f>
        <v>3.5635999999999997</v>
      </c>
      <c r="CG32" s="23"/>
      <c r="CH32" s="23"/>
      <c r="CI32" s="23"/>
      <c r="CJ32" s="23"/>
      <c r="CK32" s="23"/>
      <c r="CL32" s="23"/>
      <c r="CM32" s="23"/>
      <c r="CN32" s="23"/>
    </row>
    <row r="33" spans="2:92" ht="20.149999999999999" customHeight="1" thickBot="1" x14ac:dyDescent="0.3">
      <c r="B33" s="590" t="s">
        <v>402</v>
      </c>
      <c r="C33" s="591" t="s">
        <v>0</v>
      </c>
      <c r="D33" s="683">
        <f>(1000/VLOOKUP($D$27,Daten!$A$22:$B$25,2))*$D$25^4/($H$61*H58)^3</f>
        <v>1.6081860014822247</v>
      </c>
      <c r="E33" s="246"/>
      <c r="G33" s="134" t="s">
        <v>90</v>
      </c>
      <c r="H33" s="518">
        <f>H6</f>
        <v>1</v>
      </c>
      <c r="J33" s="18"/>
      <c r="M33" s="145" t="s">
        <v>53</v>
      </c>
      <c r="N33" s="146">
        <f>N3*1.16</f>
        <v>5.6143999999999998</v>
      </c>
      <c r="O33" s="137">
        <f t="shared" si="57"/>
        <v>7.1224000000000025</v>
      </c>
      <c r="P33" s="137">
        <f>P3*1.16</f>
        <v>5.3127999999999993</v>
      </c>
      <c r="Q33" s="137">
        <f t="shared" si="58"/>
        <v>6.7048000000000005</v>
      </c>
      <c r="R33" s="137">
        <f>R3*1.16</f>
        <v>5.0807999999999991</v>
      </c>
      <c r="S33" s="137">
        <f t="shared" si="59"/>
        <v>6.5423999999999918</v>
      </c>
      <c r="T33" s="137">
        <f>T3*1.16</f>
        <v>4.8719999999999999</v>
      </c>
      <c r="U33" s="137">
        <f t="shared" si="60"/>
        <v>4.7850000000000001</v>
      </c>
      <c r="V33" s="137">
        <f>V3*1.16</f>
        <v>4.6979999999999995</v>
      </c>
      <c r="W33" s="137">
        <f t="shared" si="61"/>
        <v>6.0552000000000028</v>
      </c>
      <c r="X33" s="137">
        <f>X3*1.16</f>
        <v>4.5471999999999992</v>
      </c>
      <c r="Y33" s="137">
        <f t="shared" si="62"/>
        <v>5.8231999999999911</v>
      </c>
      <c r="Z33" s="137">
        <f>Z3*1.16</f>
        <v>4.4196</v>
      </c>
      <c r="AA33" s="23"/>
      <c r="AB33" s="23"/>
      <c r="AD33" s="23"/>
      <c r="AE33" s="23"/>
      <c r="AF33" s="23"/>
      <c r="AG33" s="23"/>
      <c r="AH33" s="23"/>
      <c r="AJ33" s="132" t="s">
        <v>198</v>
      </c>
      <c r="AK33" s="518">
        <f>AK3</f>
        <v>0.97399999999999998</v>
      </c>
      <c r="AP33" s="145" t="s">
        <v>53</v>
      </c>
      <c r="AQ33" s="146">
        <f>AQ3*1.16</f>
        <v>7.0295999999999994</v>
      </c>
      <c r="AR33" s="137">
        <f t="shared" si="63"/>
        <v>9.8135999999999992</v>
      </c>
      <c r="AS33" s="137">
        <f>AS3*1.16</f>
        <v>6.4727999999999994</v>
      </c>
      <c r="AT33" s="137">
        <f t="shared" si="64"/>
        <v>9.1175999999999959</v>
      </c>
      <c r="AU33" s="137">
        <f>AU3*1.16</f>
        <v>6.032</v>
      </c>
      <c r="AV33" s="137">
        <f t="shared" si="65"/>
        <v>8.549199999999999</v>
      </c>
      <c r="AW33" s="137">
        <f>AW3*1.16</f>
        <v>5.6723999999999997</v>
      </c>
      <c r="AX33" s="137">
        <f t="shared" si="66"/>
        <v>5.5215999999999994</v>
      </c>
      <c r="AY33" s="137">
        <f>AY3*1.16</f>
        <v>5.3707999999999991</v>
      </c>
      <c r="AZ33" s="137">
        <f t="shared" si="67"/>
        <v>7.6675999999999949</v>
      </c>
      <c r="BA33" s="137">
        <f>BA3*1.16</f>
        <v>5.1155999999999997</v>
      </c>
      <c r="BB33" s="137">
        <f t="shared" si="68"/>
        <v>7.4355999999999991</v>
      </c>
      <c r="BC33" s="137">
        <f>BC3*1.16</f>
        <v>4.8835999999999995</v>
      </c>
      <c r="BD33" s="23"/>
      <c r="BE33" s="23"/>
      <c r="BF33" s="23"/>
      <c r="BG33" s="23"/>
      <c r="BH33" s="23"/>
      <c r="BI33" s="23"/>
      <c r="BJ33" s="23"/>
      <c r="BK33" s="23"/>
      <c r="BM33" s="151" t="s">
        <v>234</v>
      </c>
      <c r="BN33" s="518">
        <f>BN3</f>
        <v>10000</v>
      </c>
      <c r="BS33" s="145" t="s">
        <v>53</v>
      </c>
      <c r="BT33" s="146">
        <f>BT3*1.16</f>
        <v>7.9691999999999998</v>
      </c>
      <c r="BU33" s="137">
        <f t="shared" si="69"/>
        <v>10.927199999999999</v>
      </c>
      <c r="BV33" s="137">
        <f>BV3*1.16</f>
        <v>7.3776000000000002</v>
      </c>
      <c r="BW33" s="137">
        <f t="shared" si="70"/>
        <v>10.440000000000005</v>
      </c>
      <c r="BX33" s="137">
        <f>BX3*1.16</f>
        <v>6.8671999999999995</v>
      </c>
      <c r="BY33" s="137">
        <f t="shared" si="71"/>
        <v>9.7091999999999956</v>
      </c>
      <c r="BZ33" s="137">
        <f>BZ3*1.16</f>
        <v>6.4611999999999998</v>
      </c>
      <c r="CA33" s="137">
        <f t="shared" si="72"/>
        <v>6.2871999999999995</v>
      </c>
      <c r="CB33" s="137">
        <f>CB3*1.16</f>
        <v>6.1131999999999991</v>
      </c>
      <c r="CC33" s="137">
        <f t="shared" si="73"/>
        <v>8.8275999999999968</v>
      </c>
      <c r="CD33" s="137">
        <f>CD3*1.16</f>
        <v>5.8115999999999994</v>
      </c>
      <c r="CE33" s="137">
        <f t="shared" si="74"/>
        <v>8.363599999999991</v>
      </c>
      <c r="CF33" s="137">
        <f>CF3*1.16</f>
        <v>5.5564</v>
      </c>
      <c r="CG33" s="23"/>
      <c r="CH33" s="23"/>
      <c r="CI33" s="23"/>
      <c r="CJ33" s="23"/>
      <c r="CK33" s="23"/>
      <c r="CL33" s="23"/>
      <c r="CM33" s="23"/>
      <c r="CN33" s="23"/>
    </row>
    <row r="34" spans="2:92" ht="20.149999999999999" customHeight="1" thickBot="1" x14ac:dyDescent="0.3">
      <c r="J34" s="18"/>
      <c r="M34" s="147" t="s">
        <v>129</v>
      </c>
      <c r="N34" s="146">
        <f>N6*1.19</f>
        <v>5.4977999999999998</v>
      </c>
      <c r="O34" s="137">
        <f t="shared" si="57"/>
        <v>7.0447999999999968</v>
      </c>
      <c r="P34" s="137">
        <f>P6*1.19</f>
        <v>5.1884000000000006</v>
      </c>
      <c r="Q34" s="137">
        <f t="shared" si="58"/>
        <v>6.687800000000002</v>
      </c>
      <c r="R34" s="137">
        <f>R6*1.19</f>
        <v>4.9385000000000003</v>
      </c>
      <c r="S34" s="137">
        <f t="shared" si="59"/>
        <v>6.4378999999999991</v>
      </c>
      <c r="T34" s="137">
        <f>T6*1.19</f>
        <v>4.7243000000000004</v>
      </c>
      <c r="U34" s="137">
        <f t="shared" si="60"/>
        <v>4.6350500000000006</v>
      </c>
      <c r="V34" s="137">
        <f>V6*1.19</f>
        <v>4.5457999999999998</v>
      </c>
      <c r="W34" s="137">
        <f t="shared" si="61"/>
        <v>5.9381000000000004</v>
      </c>
      <c r="X34" s="137">
        <f>X6*1.19</f>
        <v>4.3910999999999998</v>
      </c>
      <c r="Y34" s="137">
        <f t="shared" si="62"/>
        <v>5.7000999999999946</v>
      </c>
      <c r="Z34" s="137">
        <f>Z6*1.19</f>
        <v>4.2602000000000002</v>
      </c>
      <c r="AA34" s="23"/>
      <c r="AB34" s="23"/>
      <c r="AC34" s="23"/>
      <c r="AD34" s="23"/>
      <c r="AE34" s="23"/>
      <c r="AF34" s="23"/>
      <c r="AG34" s="23"/>
      <c r="AH34" s="23"/>
      <c r="AJ34" s="132" t="s">
        <v>199</v>
      </c>
      <c r="AK34" s="518">
        <f>AK4</f>
        <v>1</v>
      </c>
      <c r="AP34" s="147" t="s">
        <v>129</v>
      </c>
      <c r="AQ34" s="146">
        <f>AQ6*1.19</f>
        <v>6.4497999999999998</v>
      </c>
      <c r="AR34" s="137">
        <f t="shared" si="63"/>
        <v>9.1273000000000035</v>
      </c>
      <c r="AS34" s="137">
        <f>AS6*1.19</f>
        <v>5.914299999999999</v>
      </c>
      <c r="AT34" s="137">
        <f t="shared" si="64"/>
        <v>8.484699999999993</v>
      </c>
      <c r="AU34" s="137">
        <f>AU6*1.19</f>
        <v>5.4859</v>
      </c>
      <c r="AV34" s="137">
        <f t="shared" si="65"/>
        <v>7.9015999999999948</v>
      </c>
      <c r="AW34" s="137">
        <f>AW6*1.19</f>
        <v>5.1408000000000005</v>
      </c>
      <c r="AX34" s="137">
        <f t="shared" si="66"/>
        <v>4.9980000000000002</v>
      </c>
      <c r="AY34" s="137">
        <f>AY6*1.19</f>
        <v>4.8552</v>
      </c>
      <c r="AZ34" s="137">
        <f t="shared" si="67"/>
        <v>7.1043000000000021</v>
      </c>
      <c r="BA34" s="137">
        <f>BA6*1.19</f>
        <v>4.6052999999999997</v>
      </c>
      <c r="BB34" s="137">
        <f t="shared" si="68"/>
        <v>6.7472999999999974</v>
      </c>
      <c r="BC34" s="137">
        <f>BC6*1.19</f>
        <v>4.3910999999999998</v>
      </c>
      <c r="BD34" s="23"/>
      <c r="BE34" s="23"/>
      <c r="BF34" s="23"/>
      <c r="BG34" s="23"/>
      <c r="BH34" s="23"/>
      <c r="BI34" s="23"/>
      <c r="BJ34" s="23"/>
      <c r="BK34" s="23"/>
      <c r="BM34" s="132" t="s">
        <v>204</v>
      </c>
      <c r="BN34" s="518">
        <f>BN4</f>
        <v>1</v>
      </c>
      <c r="BS34" s="147" t="s">
        <v>129</v>
      </c>
      <c r="BT34" s="146">
        <f>BT6*1.19</f>
        <v>7.3422999999999998</v>
      </c>
      <c r="BU34" s="137">
        <f t="shared" si="69"/>
        <v>10.436299999999997</v>
      </c>
      <c r="BV34" s="137">
        <f>BV6*1.19</f>
        <v>6.7235000000000005</v>
      </c>
      <c r="BW34" s="137">
        <f t="shared" si="70"/>
        <v>9.6509000000000054</v>
      </c>
      <c r="BX34" s="137">
        <f>BX6*1.19</f>
        <v>6.2355999999999998</v>
      </c>
      <c r="BY34" s="137">
        <f t="shared" si="71"/>
        <v>8.9844999999999935</v>
      </c>
      <c r="BZ34" s="137">
        <f>BZ6*1.19</f>
        <v>5.8429000000000002</v>
      </c>
      <c r="CA34" s="137">
        <f t="shared" si="72"/>
        <v>5.6763000000000003</v>
      </c>
      <c r="CB34" s="137">
        <f>CB6*1.19</f>
        <v>5.5096999999999996</v>
      </c>
      <c r="CC34" s="137">
        <f t="shared" si="73"/>
        <v>7.972999999999999</v>
      </c>
      <c r="CD34" s="137">
        <f>CD6*1.19</f>
        <v>5.2359999999999998</v>
      </c>
      <c r="CE34" s="137">
        <f t="shared" si="74"/>
        <v>7.6159999999999926</v>
      </c>
      <c r="CF34" s="137">
        <f>CF6*1.19</f>
        <v>4.9980000000000002</v>
      </c>
      <c r="CG34" s="23"/>
      <c r="CH34" s="23"/>
      <c r="CI34" s="23"/>
      <c r="CJ34" s="23"/>
      <c r="CK34" s="23"/>
      <c r="CL34" s="23"/>
      <c r="CM34" s="23"/>
      <c r="CN34" s="23"/>
    </row>
    <row r="35" spans="2:92" ht="20.149999999999999" customHeight="1" x14ac:dyDescent="0.25">
      <c r="B35" s="247" t="s">
        <v>281</v>
      </c>
      <c r="C35" s="248"/>
      <c r="D35" s="249"/>
      <c r="E35" s="250"/>
      <c r="M35" s="148" t="s">
        <v>130</v>
      </c>
      <c r="N35" s="146">
        <f>N7*1.21</f>
        <v>6.6308000000000007</v>
      </c>
      <c r="O35" s="137">
        <f t="shared" si="57"/>
        <v>8.3248000000000051</v>
      </c>
      <c r="P35" s="137">
        <f>P7*1.21</f>
        <v>6.2919999999999998</v>
      </c>
      <c r="Q35" s="137">
        <f t="shared" si="58"/>
        <v>8.0343999999999998</v>
      </c>
      <c r="R35" s="137">
        <f>R7*1.21</f>
        <v>6.0015999999999998</v>
      </c>
      <c r="S35" s="137">
        <f t="shared" si="59"/>
        <v>7.6109000000000027</v>
      </c>
      <c r="T35" s="137">
        <f>T7*1.21</f>
        <v>5.7716999999999992</v>
      </c>
      <c r="U35" s="137">
        <f t="shared" si="60"/>
        <v>5.6688499999999999</v>
      </c>
      <c r="V35" s="137">
        <f>V7*1.21</f>
        <v>5.5659999999999998</v>
      </c>
      <c r="W35" s="137">
        <f t="shared" si="61"/>
        <v>7.1994999999999987</v>
      </c>
      <c r="X35" s="137">
        <f>X7*1.21</f>
        <v>5.3845000000000001</v>
      </c>
      <c r="Y35" s="137">
        <f t="shared" si="62"/>
        <v>6.9575000000000014</v>
      </c>
      <c r="Z35" s="137">
        <f>Z7*1.21</f>
        <v>5.2271999999999998</v>
      </c>
      <c r="AA35" s="23"/>
      <c r="AB35" s="23"/>
      <c r="AC35" s="23"/>
      <c r="AD35" s="23"/>
      <c r="AE35" s="23"/>
      <c r="AF35" s="23"/>
      <c r="AG35" s="23"/>
      <c r="AH35" s="23"/>
      <c r="AJ35" s="133" t="s">
        <v>200</v>
      </c>
      <c r="AK35" s="518">
        <f>AK5</f>
        <v>1</v>
      </c>
      <c r="AP35" s="148" t="s">
        <v>130</v>
      </c>
      <c r="AQ35" s="146">
        <f>AQ7*1.21</f>
        <v>8.5183999999999997</v>
      </c>
      <c r="AR35" s="137">
        <f t="shared" si="63"/>
        <v>11.8459</v>
      </c>
      <c r="AS35" s="137">
        <f>AS7*1.21</f>
        <v>7.8529</v>
      </c>
      <c r="AT35" s="137">
        <f t="shared" si="64"/>
        <v>10.974700000000006</v>
      </c>
      <c r="AU35" s="137">
        <f>AU7*1.21</f>
        <v>7.3325999999999993</v>
      </c>
      <c r="AV35" s="137">
        <f t="shared" si="65"/>
        <v>10.381799999999991</v>
      </c>
      <c r="AW35" s="137">
        <f>AW7*1.21</f>
        <v>6.8970000000000002</v>
      </c>
      <c r="AX35" s="137">
        <f t="shared" si="66"/>
        <v>6.7094500000000004</v>
      </c>
      <c r="AY35" s="137">
        <f>AY7*1.21</f>
        <v>6.5218999999999996</v>
      </c>
      <c r="AZ35" s="137">
        <f t="shared" si="67"/>
        <v>9.3532999999999973</v>
      </c>
      <c r="BA35" s="137">
        <f>BA7*1.21</f>
        <v>6.2073</v>
      </c>
      <c r="BB35" s="137">
        <f t="shared" si="68"/>
        <v>8.8693000000000026</v>
      </c>
      <c r="BC35" s="137">
        <f>BC7*1.21</f>
        <v>5.9410999999999996</v>
      </c>
      <c r="BD35" s="23"/>
      <c r="BE35" s="23"/>
      <c r="BF35" s="23"/>
      <c r="BG35" s="23"/>
      <c r="BH35" s="23"/>
      <c r="BI35" s="23"/>
      <c r="BJ35" s="23"/>
      <c r="BK35" s="23"/>
      <c r="BM35" s="133" t="s">
        <v>205</v>
      </c>
      <c r="BN35" s="518">
        <f>BN5</f>
        <v>1</v>
      </c>
      <c r="BS35" s="148" t="s">
        <v>130</v>
      </c>
      <c r="BT35" s="146">
        <f>BT7*1.21</f>
        <v>9.7041999999999984</v>
      </c>
      <c r="BU35" s="137">
        <f t="shared" si="69"/>
        <v>13.455199999999987</v>
      </c>
      <c r="BV35" s="137">
        <f>BV7*1.21</f>
        <v>8.9540000000000006</v>
      </c>
      <c r="BW35" s="137">
        <f t="shared" si="70"/>
        <v>12.656600000000005</v>
      </c>
      <c r="BX35" s="137">
        <f>BX7*1.21</f>
        <v>8.3369</v>
      </c>
      <c r="BY35" s="137">
        <f t="shared" si="71"/>
        <v>11.809599999999993</v>
      </c>
      <c r="BZ35" s="137">
        <f>BZ7*1.21</f>
        <v>7.8408000000000007</v>
      </c>
      <c r="CA35" s="137">
        <f t="shared" si="72"/>
        <v>7.6351000000000004</v>
      </c>
      <c r="CB35" s="137">
        <f>CB7*1.21</f>
        <v>7.4293999999999993</v>
      </c>
      <c r="CC35" s="137">
        <f t="shared" si="73"/>
        <v>10.696399999999997</v>
      </c>
      <c r="CD35" s="137">
        <f>CD7*1.21</f>
        <v>7.0663999999999998</v>
      </c>
      <c r="CE35" s="137">
        <f t="shared" si="74"/>
        <v>10.0914</v>
      </c>
      <c r="CF35" s="137">
        <f>CF7*1.21</f>
        <v>6.7638999999999996</v>
      </c>
      <c r="CG35" s="23"/>
      <c r="CH35" s="23"/>
      <c r="CI35" s="23"/>
      <c r="CJ35" s="23"/>
      <c r="CK35" s="23"/>
      <c r="CL35" s="23"/>
      <c r="CM35" s="23"/>
      <c r="CN35" s="23"/>
    </row>
    <row r="36" spans="2:92" ht="20.149999999999999" customHeight="1" thickBot="1" x14ac:dyDescent="0.3">
      <c r="B36" s="267" t="s">
        <v>79</v>
      </c>
      <c r="C36" s="251" t="s">
        <v>0</v>
      </c>
      <c r="D36" s="265">
        <v>5</v>
      </c>
      <c r="E36" s="217"/>
      <c r="M36" s="147" t="s">
        <v>139</v>
      </c>
      <c r="N36" s="146">
        <f>N8*0.99</f>
        <v>5.2667999999999999</v>
      </c>
      <c r="O36" s="137">
        <f t="shared" si="57"/>
        <v>6.7518000000000029</v>
      </c>
      <c r="P36" s="146">
        <f>P8*0.99</f>
        <v>4.9697999999999993</v>
      </c>
      <c r="Q36" s="137">
        <f t="shared" si="58"/>
        <v>6.3953999999999915</v>
      </c>
      <c r="R36" s="146">
        <f>R8*0.99</f>
        <v>4.7322000000000006</v>
      </c>
      <c r="S36" s="137">
        <f t="shared" si="59"/>
        <v>6.1182000000000016</v>
      </c>
      <c r="T36" s="146">
        <f>T8*0.99</f>
        <v>4.5342000000000002</v>
      </c>
      <c r="U36" s="137">
        <f t="shared" si="60"/>
        <v>4.4500500000000001</v>
      </c>
      <c r="V36" s="146">
        <f>V8*0.99</f>
        <v>4.3658999999999999</v>
      </c>
      <c r="W36" s="137">
        <f t="shared" si="61"/>
        <v>5.7024000000000026</v>
      </c>
      <c r="X36" s="146">
        <f>X8*0.99</f>
        <v>4.2173999999999996</v>
      </c>
      <c r="Y36" s="137">
        <f t="shared" si="62"/>
        <v>5.5043999999999924</v>
      </c>
      <c r="Z36" s="146">
        <f>Z8*0.99</f>
        <v>4.0887000000000002</v>
      </c>
      <c r="AA36" s="23"/>
      <c r="AB36" s="23"/>
      <c r="AC36" s="23"/>
      <c r="AD36" s="23"/>
      <c r="AE36" s="23"/>
      <c r="AF36" s="23"/>
      <c r="AG36" s="23"/>
      <c r="AH36" s="23"/>
      <c r="AJ36" s="134" t="s">
        <v>90</v>
      </c>
      <c r="AK36" s="518">
        <f>AK6</f>
        <v>1</v>
      </c>
      <c r="AP36" s="147" t="s">
        <v>139</v>
      </c>
      <c r="AQ36" s="146">
        <f>AQ8*0.99</f>
        <v>7.2368999999999994</v>
      </c>
      <c r="AR36" s="137">
        <f t="shared" si="63"/>
        <v>10.206899999999997</v>
      </c>
      <c r="AS36" s="146">
        <f>AS8*0.99</f>
        <v>6.6429</v>
      </c>
      <c r="AT36" s="137">
        <f t="shared" si="64"/>
        <v>9.4941000000000013</v>
      </c>
      <c r="AU36" s="146">
        <f>AU8*0.99</f>
        <v>6.1677</v>
      </c>
      <c r="AV36" s="137">
        <f t="shared" si="65"/>
        <v>8.8703999999999965</v>
      </c>
      <c r="AW36" s="146">
        <f>AW8*0.99</f>
        <v>5.7816000000000001</v>
      </c>
      <c r="AX36" s="137">
        <f t="shared" si="66"/>
        <v>5.6182499999999997</v>
      </c>
      <c r="AY36" s="146">
        <f>AY8*0.99</f>
        <v>5.4548999999999994</v>
      </c>
      <c r="AZ36" s="137">
        <f t="shared" si="67"/>
        <v>7.8605999999999971</v>
      </c>
      <c r="BA36" s="146">
        <f>BA8*0.99</f>
        <v>5.1875999999999998</v>
      </c>
      <c r="BB36" s="137">
        <f t="shared" si="68"/>
        <v>7.5635999999999939</v>
      </c>
      <c r="BC36" s="146">
        <f>BC8*0.99</f>
        <v>4.95</v>
      </c>
      <c r="BD36" s="23"/>
      <c r="BE36" s="23"/>
      <c r="BF36" s="23"/>
      <c r="BG36" s="23"/>
      <c r="BH36" s="23"/>
      <c r="BI36" s="23"/>
      <c r="BJ36" s="23"/>
      <c r="BK36" s="23"/>
      <c r="BM36" s="134" t="s">
        <v>90</v>
      </c>
      <c r="BN36" s="518">
        <f>BN6</f>
        <v>1</v>
      </c>
      <c r="BS36" s="147" t="s">
        <v>139</v>
      </c>
      <c r="BT36" s="146">
        <f>BT8*0.99</f>
        <v>8.2368000000000006</v>
      </c>
      <c r="BU36" s="137">
        <f t="shared" si="69"/>
        <v>11.652300000000004</v>
      </c>
      <c r="BV36" s="146">
        <f>BV8*0.99</f>
        <v>7.5537000000000001</v>
      </c>
      <c r="BW36" s="137">
        <f t="shared" si="70"/>
        <v>10.820700000000002</v>
      </c>
      <c r="BX36" s="146">
        <f>BX8*0.99</f>
        <v>7.0091999999999999</v>
      </c>
      <c r="BY36" s="137">
        <f t="shared" si="71"/>
        <v>10.058399999999997</v>
      </c>
      <c r="BZ36" s="146">
        <f>BZ8*0.99</f>
        <v>6.5735999999999999</v>
      </c>
      <c r="CA36" s="137">
        <f t="shared" si="72"/>
        <v>6.3904499999999995</v>
      </c>
      <c r="CB36" s="146">
        <f>CB8*0.99</f>
        <v>6.2072999999999992</v>
      </c>
      <c r="CC36" s="137">
        <f t="shared" si="73"/>
        <v>8.9693999999999896</v>
      </c>
      <c r="CD36" s="146">
        <f>CD8*0.99</f>
        <v>5.9004000000000003</v>
      </c>
      <c r="CE36" s="137">
        <f t="shared" si="74"/>
        <v>8.5733999999999941</v>
      </c>
      <c r="CF36" s="146">
        <f>CF8*0.99</f>
        <v>5.6331000000000007</v>
      </c>
      <c r="CG36" s="23"/>
      <c r="CH36" s="23"/>
      <c r="CI36" s="23"/>
      <c r="CJ36" s="23"/>
      <c r="CK36" s="23"/>
      <c r="CL36" s="23"/>
      <c r="CM36" s="23"/>
      <c r="CN36" s="23"/>
    </row>
    <row r="37" spans="2:92" ht="20.149999999999999" customHeight="1" x14ac:dyDescent="0.25">
      <c r="B37" s="267" t="s">
        <v>80</v>
      </c>
      <c r="C37" s="251" t="s">
        <v>0</v>
      </c>
      <c r="D37" s="265">
        <v>0</v>
      </c>
      <c r="E37" s="217"/>
      <c r="M37" s="148" t="s">
        <v>140</v>
      </c>
      <c r="N37" s="146">
        <f>N9*1.06</f>
        <v>6.3176000000000005</v>
      </c>
      <c r="O37" s="137">
        <f t="shared" si="57"/>
        <v>7.9605999999999995</v>
      </c>
      <c r="P37" s="146">
        <f>P9*1.06</f>
        <v>5.9890000000000008</v>
      </c>
      <c r="Q37" s="137">
        <f t="shared" si="58"/>
        <v>7.5789999999999988</v>
      </c>
      <c r="R37" s="146">
        <f>R9*1.06</f>
        <v>5.7240000000000011</v>
      </c>
      <c r="S37" s="137">
        <f t="shared" si="59"/>
        <v>7.356400000000006</v>
      </c>
      <c r="T37" s="146">
        <f>T9*1.06</f>
        <v>5.4908000000000001</v>
      </c>
      <c r="U37" s="137">
        <f t="shared" si="60"/>
        <v>5.3954000000000004</v>
      </c>
      <c r="V37" s="146">
        <f>V9*1.06</f>
        <v>5.3000000000000007</v>
      </c>
      <c r="W37" s="137">
        <f t="shared" si="61"/>
        <v>6.8264000000000085</v>
      </c>
      <c r="X37" s="146">
        <f>X9*1.06</f>
        <v>5.1303999999999998</v>
      </c>
      <c r="Y37" s="137">
        <f t="shared" si="62"/>
        <v>6.6143999999999945</v>
      </c>
      <c r="Z37" s="146">
        <f>Z9*1.06</f>
        <v>4.9820000000000002</v>
      </c>
      <c r="AA37" s="23"/>
      <c r="AB37" s="23"/>
      <c r="AC37" s="23"/>
      <c r="AD37" s="23"/>
      <c r="AE37" s="23"/>
      <c r="AF37" s="23"/>
      <c r="AG37" s="23"/>
      <c r="AH37" s="23"/>
      <c r="AJ37" s="8"/>
      <c r="AP37" s="148" t="s">
        <v>140</v>
      </c>
      <c r="AQ37" s="146">
        <f>AQ9*1.06</f>
        <v>8.7767999999999997</v>
      </c>
      <c r="AR37" s="137">
        <f t="shared" si="63"/>
        <v>12.168800000000001</v>
      </c>
      <c r="AS37" s="146">
        <f>AS9*1.06</f>
        <v>8.0983999999999998</v>
      </c>
      <c r="AT37" s="137">
        <f t="shared" si="64"/>
        <v>11.341999999999997</v>
      </c>
      <c r="AU37" s="146">
        <f>AU9*1.06</f>
        <v>7.5578000000000003</v>
      </c>
      <c r="AV37" s="137">
        <f t="shared" si="65"/>
        <v>10.674199999999995</v>
      </c>
      <c r="AW37" s="146">
        <f>AW9*1.06</f>
        <v>7.1126000000000005</v>
      </c>
      <c r="AX37" s="137">
        <f t="shared" si="66"/>
        <v>6.9271000000000011</v>
      </c>
      <c r="AY37" s="146">
        <f>AY9*1.06</f>
        <v>6.7416000000000009</v>
      </c>
      <c r="AZ37" s="137">
        <f t="shared" si="67"/>
        <v>9.6036000000000143</v>
      </c>
      <c r="BA37" s="146">
        <f>BA9*1.06</f>
        <v>6.4235999999999995</v>
      </c>
      <c r="BB37" s="137">
        <f t="shared" si="68"/>
        <v>9.2855999999999881</v>
      </c>
      <c r="BC37" s="146">
        <f>BC9*1.06</f>
        <v>6.1374000000000004</v>
      </c>
      <c r="BD37" s="23"/>
      <c r="BE37" s="23"/>
      <c r="BF37" s="23"/>
      <c r="BG37" s="23"/>
      <c r="BH37" s="23"/>
      <c r="BI37" s="23"/>
      <c r="BJ37" s="23"/>
      <c r="BK37" s="23"/>
      <c r="BM37" s="8"/>
      <c r="BS37" s="148" t="s">
        <v>140</v>
      </c>
      <c r="BT37" s="146">
        <f>BT9*1.06</f>
        <v>10.006399999999999</v>
      </c>
      <c r="BU37" s="137">
        <f t="shared" si="69"/>
        <v>13.875399999999988</v>
      </c>
      <c r="BV37" s="146">
        <f>BV9*1.06</f>
        <v>9.2326000000000015</v>
      </c>
      <c r="BW37" s="137">
        <f t="shared" si="70"/>
        <v>12.985000000000017</v>
      </c>
      <c r="BX37" s="146">
        <f>BX9*1.06</f>
        <v>8.6071999999999989</v>
      </c>
      <c r="BY37" s="137">
        <f t="shared" si="71"/>
        <v>12.168799999999989</v>
      </c>
      <c r="BZ37" s="146">
        <f>BZ9*1.06</f>
        <v>8.0983999999999998</v>
      </c>
      <c r="CA37" s="137">
        <f t="shared" si="72"/>
        <v>7.8864000000000001</v>
      </c>
      <c r="CB37" s="146">
        <f>CB9*1.06</f>
        <v>7.6744000000000003</v>
      </c>
      <c r="CC37" s="137">
        <f t="shared" si="73"/>
        <v>11.013400000000004</v>
      </c>
      <c r="CD37" s="146">
        <f>CD9*1.06</f>
        <v>7.3033999999999999</v>
      </c>
      <c r="CE37" s="137">
        <f t="shared" si="74"/>
        <v>10.483399999999993</v>
      </c>
      <c r="CF37" s="146">
        <f>CF9*1.06</f>
        <v>6.9854000000000003</v>
      </c>
      <c r="CG37" s="23"/>
      <c r="CH37" s="23"/>
      <c r="CI37" s="23"/>
      <c r="CJ37" s="23"/>
      <c r="CK37" s="23"/>
      <c r="CL37" s="23"/>
      <c r="CM37" s="23"/>
      <c r="CN37" s="23"/>
    </row>
    <row r="38" spans="2:92" ht="20.149999999999999" customHeight="1" x14ac:dyDescent="0.25">
      <c r="B38" s="267" t="s">
        <v>81</v>
      </c>
      <c r="C38" s="251" t="s">
        <v>0</v>
      </c>
      <c r="D38" s="269">
        <f>IF(D37=0,D36/2+0,(D36+D37)^2/(2*D36))</f>
        <v>2.5</v>
      </c>
      <c r="E38" s="217"/>
      <c r="M38" s="149" t="s">
        <v>558</v>
      </c>
      <c r="N38" s="146">
        <f>N10*1.17</f>
        <v>4.5512999999999995</v>
      </c>
      <c r="O38" s="137">
        <f t="shared" si="57"/>
        <v>5.8382999999999976</v>
      </c>
      <c r="P38" s="137">
        <f>P10*1.17</f>
        <v>4.2938999999999998</v>
      </c>
      <c r="Q38" s="137">
        <f t="shared" si="58"/>
        <v>5.5574999999999966</v>
      </c>
      <c r="R38" s="137">
        <f>R10*1.17</f>
        <v>4.0833000000000004</v>
      </c>
      <c r="S38" s="137">
        <f t="shared" si="59"/>
        <v>5.3118000000000052</v>
      </c>
      <c r="T38" s="137">
        <f>T10*1.17</f>
        <v>3.9077999999999995</v>
      </c>
      <c r="U38" s="137">
        <f t="shared" si="60"/>
        <v>3.8375999999999997</v>
      </c>
      <c r="V38" s="137">
        <f>V10*1.17</f>
        <v>3.7673999999999999</v>
      </c>
      <c r="W38" s="137">
        <f t="shared" si="61"/>
        <v>4.9257000000000026</v>
      </c>
      <c r="X38" s="137">
        <f>X10*1.17</f>
        <v>3.6386999999999996</v>
      </c>
      <c r="Y38" s="137">
        <f t="shared" si="62"/>
        <v>4.8086999999999982</v>
      </c>
      <c r="Z38" s="137">
        <f>Z10*1.17</f>
        <v>3.5216999999999996</v>
      </c>
      <c r="AP38" s="149" t="s">
        <v>558</v>
      </c>
      <c r="AQ38" s="146">
        <f>AQ10*1.17</f>
        <v>6.1191000000000004</v>
      </c>
      <c r="AR38" s="137">
        <f t="shared" si="63"/>
        <v>8.6931000000000065</v>
      </c>
      <c r="AS38" s="137">
        <f>AS10*1.17</f>
        <v>5.6042999999999994</v>
      </c>
      <c r="AT38" s="137">
        <f t="shared" si="64"/>
        <v>8.0612999999999975</v>
      </c>
      <c r="AU38" s="137">
        <f>AU10*1.17</f>
        <v>5.1947999999999999</v>
      </c>
      <c r="AV38" s="137">
        <f t="shared" si="65"/>
        <v>7.4879999999999995</v>
      </c>
      <c r="AW38" s="137">
        <f>AW10*1.17</f>
        <v>4.8671999999999995</v>
      </c>
      <c r="AX38" s="137">
        <f t="shared" si="66"/>
        <v>4.7267999999999999</v>
      </c>
      <c r="AY38" s="137">
        <f>AY10*1.17</f>
        <v>4.5863999999999994</v>
      </c>
      <c r="AZ38" s="137">
        <f t="shared" si="67"/>
        <v>6.5870999999999977</v>
      </c>
      <c r="BA38" s="137">
        <f>BA10*1.17</f>
        <v>4.3640999999999996</v>
      </c>
      <c r="BB38" s="137">
        <f t="shared" si="68"/>
        <v>6.3530999999999986</v>
      </c>
      <c r="BC38" s="137">
        <f>BC10*1.17</f>
        <v>4.1651999999999996</v>
      </c>
      <c r="BS38" s="149" t="s">
        <v>558</v>
      </c>
      <c r="BT38" s="146">
        <f>BT10*1.17</f>
        <v>6.9615</v>
      </c>
      <c r="BU38" s="137">
        <f t="shared" si="69"/>
        <v>9.9450000000000021</v>
      </c>
      <c r="BV38" s="137">
        <f>BV10*1.17</f>
        <v>6.3647999999999998</v>
      </c>
      <c r="BW38" s="137">
        <f t="shared" si="70"/>
        <v>9.1026000000000042</v>
      </c>
      <c r="BX38" s="137">
        <f>BX10*1.17</f>
        <v>5.9084999999999992</v>
      </c>
      <c r="BY38" s="137">
        <f t="shared" si="71"/>
        <v>8.5292999999999886</v>
      </c>
      <c r="BZ38" s="137">
        <f>BZ10*1.17</f>
        <v>5.5341000000000005</v>
      </c>
      <c r="CA38" s="137">
        <f t="shared" si="72"/>
        <v>5.37615</v>
      </c>
      <c r="CB38" s="137">
        <f>CB10*1.17</f>
        <v>5.2181999999999995</v>
      </c>
      <c r="CC38" s="137">
        <f t="shared" si="73"/>
        <v>7.5347999999999971</v>
      </c>
      <c r="CD38" s="137">
        <f>CD10*1.17</f>
        <v>4.9607999999999999</v>
      </c>
      <c r="CE38" s="137">
        <f t="shared" si="74"/>
        <v>7.3007999999999971</v>
      </c>
      <c r="CF38" s="137">
        <f>CF10*1.17</f>
        <v>4.7267999999999999</v>
      </c>
    </row>
    <row r="39" spans="2:92" ht="20.149999999999999" customHeight="1" x14ac:dyDescent="0.25">
      <c r="B39" s="268" t="s">
        <v>282</v>
      </c>
      <c r="C39" s="252" t="s">
        <v>0</v>
      </c>
      <c r="D39" s="594">
        <v>5.01</v>
      </c>
      <c r="E39" s="217"/>
      <c r="M39" s="148" t="s">
        <v>559</v>
      </c>
      <c r="N39" s="146">
        <f>N11*1.18</f>
        <v>5.1920000000000002</v>
      </c>
      <c r="O39" s="137">
        <f t="shared" si="57"/>
        <v>6.6079999999999997</v>
      </c>
      <c r="P39" s="137">
        <f>P11*1.18</f>
        <v>4.9088000000000003</v>
      </c>
      <c r="Q39" s="137">
        <f t="shared" si="58"/>
        <v>6.3248000000000042</v>
      </c>
      <c r="R39" s="137">
        <f>R11*1.18</f>
        <v>4.6727999999999996</v>
      </c>
      <c r="S39" s="137">
        <f t="shared" si="59"/>
        <v>5.9943999999999953</v>
      </c>
      <c r="T39" s="137">
        <f>T11*1.18</f>
        <v>4.484</v>
      </c>
      <c r="U39" s="137">
        <f t="shared" si="60"/>
        <v>4.4013999999999998</v>
      </c>
      <c r="V39" s="137">
        <f>V11*1.18</f>
        <v>4.3187999999999995</v>
      </c>
      <c r="W39" s="137">
        <f t="shared" si="61"/>
        <v>5.5931999999999951</v>
      </c>
      <c r="X39" s="137">
        <f>X11*1.18</f>
        <v>4.1772</v>
      </c>
      <c r="Y39" s="137">
        <f t="shared" si="62"/>
        <v>5.4752000000000027</v>
      </c>
      <c r="Z39" s="137">
        <f>Z11*1.18</f>
        <v>4.0473999999999997</v>
      </c>
      <c r="AP39" s="148" t="s">
        <v>559</v>
      </c>
      <c r="AQ39" s="146">
        <f>AQ11*1.18</f>
        <v>7.3867999999999991</v>
      </c>
      <c r="AR39" s="137">
        <f t="shared" si="63"/>
        <v>10.395799999999999</v>
      </c>
      <c r="AS39" s="137">
        <f>AS11*1.18</f>
        <v>6.7849999999999993</v>
      </c>
      <c r="AT39" s="137">
        <f t="shared" si="64"/>
        <v>9.6170000000000027</v>
      </c>
      <c r="AU39" s="137">
        <f>AU11*1.18</f>
        <v>6.3129999999999988</v>
      </c>
      <c r="AV39" s="137">
        <f t="shared" si="65"/>
        <v>9.0387999999999913</v>
      </c>
      <c r="AW39" s="137">
        <f>AW11*1.18</f>
        <v>5.9235999999999995</v>
      </c>
      <c r="AX39" s="137">
        <f t="shared" si="66"/>
        <v>5.7642999999999995</v>
      </c>
      <c r="AY39" s="137">
        <f>AY11*1.18</f>
        <v>5.6049999999999995</v>
      </c>
      <c r="AZ39" s="137">
        <f t="shared" si="67"/>
        <v>8.0476000000000063</v>
      </c>
      <c r="BA39" s="137">
        <f>BA11*1.18</f>
        <v>5.3335999999999988</v>
      </c>
      <c r="BB39" s="137">
        <f t="shared" si="68"/>
        <v>7.811599999999995</v>
      </c>
      <c r="BC39" s="137">
        <f>BC11*1.18</f>
        <v>5.085799999999999</v>
      </c>
      <c r="BS39" s="148" t="s">
        <v>559</v>
      </c>
      <c r="BT39" s="146">
        <f>BT11*1.18</f>
        <v>8.4133999999999993</v>
      </c>
      <c r="BU39" s="137">
        <f t="shared" si="69"/>
        <v>11.8354</v>
      </c>
      <c r="BV39" s="137">
        <f>BV11*1.18</f>
        <v>7.7289999999999992</v>
      </c>
      <c r="BW39" s="137">
        <f t="shared" si="70"/>
        <v>10.985799999999998</v>
      </c>
      <c r="BX39" s="137">
        <f>BX11*1.18</f>
        <v>7.1861999999999995</v>
      </c>
      <c r="BY39" s="137">
        <f t="shared" si="71"/>
        <v>10.2424</v>
      </c>
      <c r="BZ39" s="137">
        <f>BZ11*1.18</f>
        <v>6.7495999999999992</v>
      </c>
      <c r="CA39" s="137">
        <f t="shared" si="72"/>
        <v>6.5607999999999995</v>
      </c>
      <c r="CB39" s="137">
        <f>CB11*1.18</f>
        <v>6.3719999999999999</v>
      </c>
      <c r="CC39" s="137">
        <f t="shared" si="73"/>
        <v>9.1332000000000075</v>
      </c>
      <c r="CD39" s="137">
        <f>CD11*1.18</f>
        <v>6.065199999999999</v>
      </c>
      <c r="CE39" s="137">
        <f t="shared" si="74"/>
        <v>8.779199999999987</v>
      </c>
      <c r="CF39" s="137">
        <f>CF11*1.18</f>
        <v>5.7938000000000001</v>
      </c>
    </row>
    <row r="40" spans="2:92" ht="20.149999999999999" customHeight="1" x14ac:dyDescent="0.25">
      <c r="B40" s="487" t="s">
        <v>78</v>
      </c>
      <c r="C40" s="251" t="s">
        <v>0</v>
      </c>
      <c r="D40" s="668" t="s">
        <v>495</v>
      </c>
      <c r="E40" s="217"/>
      <c r="M40" s="626" t="s">
        <v>560</v>
      </c>
      <c r="N40" s="146">
        <f>N12*1.19</f>
        <v>6.1760999999999999</v>
      </c>
      <c r="O40" s="137">
        <f t="shared" si="57"/>
        <v>7.8420999999999985</v>
      </c>
      <c r="P40" s="137">
        <f>P12*1.19</f>
        <v>5.8429000000000002</v>
      </c>
      <c r="Q40" s="137">
        <f t="shared" si="58"/>
        <v>7.4851000000000045</v>
      </c>
      <c r="R40" s="137">
        <f>R12*1.19</f>
        <v>5.5691999999999995</v>
      </c>
      <c r="S40" s="137">
        <f t="shared" si="59"/>
        <v>7.1518999999999959</v>
      </c>
      <c r="T40" s="137">
        <f>T12*1.19</f>
        <v>5.3430999999999997</v>
      </c>
      <c r="U40" s="137">
        <f t="shared" si="60"/>
        <v>5.2479000000000005</v>
      </c>
      <c r="V40" s="137">
        <f>V12*1.19</f>
        <v>5.1527000000000003</v>
      </c>
      <c r="W40" s="137">
        <f t="shared" si="61"/>
        <v>6.7592000000000052</v>
      </c>
      <c r="X40" s="137">
        <f>X12*1.19</f>
        <v>4.9741999999999997</v>
      </c>
      <c r="Y40" s="137">
        <f t="shared" si="62"/>
        <v>6.4022000000000006</v>
      </c>
      <c r="Z40" s="137">
        <f>Z12*1.19</f>
        <v>4.8313999999999995</v>
      </c>
      <c r="AP40" s="626" t="s">
        <v>560</v>
      </c>
      <c r="AQ40" s="146">
        <f>AQ12*1.19</f>
        <v>7.6397999999999993</v>
      </c>
      <c r="AR40" s="137">
        <f t="shared" si="63"/>
        <v>10.733799999999997</v>
      </c>
      <c r="AS40" s="137">
        <f>AS12*1.19</f>
        <v>7.0209999999999999</v>
      </c>
      <c r="AT40" s="137">
        <f t="shared" si="64"/>
        <v>9.9483999999999995</v>
      </c>
      <c r="AU40" s="137">
        <f>AU12*1.19</f>
        <v>6.5331000000000001</v>
      </c>
      <c r="AV40" s="137">
        <f t="shared" si="65"/>
        <v>9.3652999999999995</v>
      </c>
      <c r="AW40" s="137">
        <f>AW12*1.19</f>
        <v>6.1284999999999998</v>
      </c>
      <c r="AX40" s="137">
        <f t="shared" si="66"/>
        <v>5.9619</v>
      </c>
      <c r="AY40" s="137">
        <f>AY12*1.19</f>
        <v>5.7953000000000001</v>
      </c>
      <c r="AZ40" s="137">
        <f t="shared" si="67"/>
        <v>8.3657000000000057</v>
      </c>
      <c r="BA40" s="137">
        <f>BA12*1.19</f>
        <v>5.5096999999999996</v>
      </c>
      <c r="BB40" s="137">
        <f t="shared" si="68"/>
        <v>8.0086999999999993</v>
      </c>
      <c r="BC40" s="137">
        <f>BC12*1.19</f>
        <v>5.2597999999999994</v>
      </c>
      <c r="BS40" s="626" t="s">
        <v>560</v>
      </c>
      <c r="BT40" s="146">
        <f>BT12*1.19</f>
        <v>8.6988999999999983</v>
      </c>
      <c r="BU40" s="137">
        <f t="shared" si="69"/>
        <v>12.268899999999991</v>
      </c>
      <c r="BV40" s="137">
        <f>BV12*1.19</f>
        <v>7.9848999999999997</v>
      </c>
      <c r="BW40" s="137">
        <f t="shared" si="70"/>
        <v>11.340699999999996</v>
      </c>
      <c r="BX40" s="137">
        <f>BX12*1.19</f>
        <v>7.4256000000000002</v>
      </c>
      <c r="BY40" s="137">
        <f t="shared" si="71"/>
        <v>10.591000000000001</v>
      </c>
      <c r="BZ40" s="137">
        <f>BZ12*1.19</f>
        <v>6.9733999999999998</v>
      </c>
      <c r="CA40" s="137">
        <f t="shared" si="72"/>
        <v>6.7830000000000004</v>
      </c>
      <c r="CB40" s="137">
        <f>CB12*1.19</f>
        <v>6.5926</v>
      </c>
      <c r="CC40" s="137">
        <f t="shared" si="73"/>
        <v>9.4843000000000082</v>
      </c>
      <c r="CD40" s="137">
        <f>CD12*1.19</f>
        <v>6.2712999999999992</v>
      </c>
      <c r="CE40" s="137">
        <f t="shared" si="74"/>
        <v>9.127299999999984</v>
      </c>
      <c r="CF40" s="137">
        <f>CF12*1.19</f>
        <v>5.9857000000000005</v>
      </c>
    </row>
    <row r="41" spans="2:92" ht="20.149999999999999" customHeight="1" x14ac:dyDescent="0.25">
      <c r="B41" s="267" t="s">
        <v>90</v>
      </c>
      <c r="C41" s="251" t="s">
        <v>0</v>
      </c>
      <c r="D41" s="668" t="s">
        <v>88</v>
      </c>
      <c r="E41" s="746" t="s">
        <v>565</v>
      </c>
      <c r="M41" s="149" t="s">
        <v>136</v>
      </c>
      <c r="N41" s="146">
        <f>N13*1.17</f>
        <v>4.2002999999999995</v>
      </c>
      <c r="O41" s="137">
        <f t="shared" si="57"/>
        <v>5.428799999999999</v>
      </c>
      <c r="P41" s="137">
        <f>P13*1.17</f>
        <v>3.9545999999999997</v>
      </c>
      <c r="Q41" s="137">
        <f t="shared" si="58"/>
        <v>5.077799999999999</v>
      </c>
      <c r="R41" s="137">
        <f>R13*1.17</f>
        <v>3.7673999999999999</v>
      </c>
      <c r="S41" s="137">
        <f t="shared" si="59"/>
        <v>4.9139999999999997</v>
      </c>
      <c r="T41" s="137">
        <f>T13*1.17</f>
        <v>3.6035999999999997</v>
      </c>
      <c r="U41" s="137">
        <f t="shared" si="60"/>
        <v>3.5333999999999999</v>
      </c>
      <c r="V41" s="137">
        <f>V13*1.17</f>
        <v>3.4631999999999996</v>
      </c>
      <c r="W41" s="137">
        <f t="shared" si="61"/>
        <v>4.5161999999999995</v>
      </c>
      <c r="X41" s="137">
        <f>X13*1.17</f>
        <v>3.3461999999999996</v>
      </c>
      <c r="Y41" s="137">
        <f t="shared" si="62"/>
        <v>4.399199999999996</v>
      </c>
      <c r="Z41" s="137">
        <f>Z13*1.17</f>
        <v>3.2408999999999999</v>
      </c>
      <c r="AA41" s="23"/>
      <c r="AB41" s="23"/>
      <c r="AC41" s="23"/>
      <c r="AD41" s="23"/>
      <c r="AE41" s="23"/>
      <c r="AF41" s="23"/>
      <c r="AG41" s="23"/>
      <c r="AH41" s="23"/>
      <c r="AI41" s="24"/>
      <c r="AJ41" s="8"/>
      <c r="AP41" s="149" t="s">
        <v>136</v>
      </c>
      <c r="AQ41" s="146">
        <f>AQ13*1.17</f>
        <v>5.1245999999999992</v>
      </c>
      <c r="AR41" s="137">
        <f t="shared" si="63"/>
        <v>7.2890999999999995</v>
      </c>
      <c r="AS41" s="137">
        <f>AS13*1.17</f>
        <v>4.6916999999999991</v>
      </c>
      <c r="AT41" s="137">
        <f t="shared" si="64"/>
        <v>6.727499999999992</v>
      </c>
      <c r="AU41" s="137">
        <f>AU13*1.17</f>
        <v>4.3524000000000003</v>
      </c>
      <c r="AV41" s="137">
        <f t="shared" si="65"/>
        <v>6.3179999999999996</v>
      </c>
      <c r="AW41" s="137">
        <f>AW13*1.17</f>
        <v>4.0716000000000001</v>
      </c>
      <c r="AX41" s="137">
        <f t="shared" si="66"/>
        <v>3.9604500000000002</v>
      </c>
      <c r="AY41" s="137">
        <f>AY13*1.17</f>
        <v>3.8492999999999999</v>
      </c>
      <c r="AZ41" s="137">
        <f t="shared" si="67"/>
        <v>5.6394000000000011</v>
      </c>
      <c r="BA41" s="137">
        <f>BA13*1.17</f>
        <v>3.6503999999999999</v>
      </c>
      <c r="BB41" s="137">
        <f t="shared" si="68"/>
        <v>5.2884000000000002</v>
      </c>
      <c r="BC41" s="137">
        <f>BC13*1.17</f>
        <v>3.4865999999999997</v>
      </c>
      <c r="BD41" s="23"/>
      <c r="BE41" s="23"/>
      <c r="BF41" s="23"/>
      <c r="BG41" s="23"/>
      <c r="BH41" s="23"/>
      <c r="BI41" s="23"/>
      <c r="BJ41" s="23"/>
      <c r="BK41" s="23"/>
      <c r="BM41" s="8"/>
      <c r="BS41" s="149" t="s">
        <v>136</v>
      </c>
      <c r="BT41" s="146">
        <f>BT13*1.17</f>
        <v>5.8266</v>
      </c>
      <c r="BU41" s="137">
        <f t="shared" si="69"/>
        <v>8.2836000000000034</v>
      </c>
      <c r="BV41" s="137">
        <f>BV13*1.17</f>
        <v>5.3351999999999995</v>
      </c>
      <c r="BW41" s="137">
        <f t="shared" si="70"/>
        <v>7.6517999999999944</v>
      </c>
      <c r="BX41" s="137">
        <f>BX13*1.17</f>
        <v>4.9491000000000005</v>
      </c>
      <c r="BY41" s="137">
        <f t="shared" si="71"/>
        <v>7.1604000000000045</v>
      </c>
      <c r="BZ41" s="137">
        <f>BZ13*1.17</f>
        <v>4.6331999999999995</v>
      </c>
      <c r="CA41" s="137">
        <f t="shared" si="72"/>
        <v>4.5045000000000002</v>
      </c>
      <c r="CB41" s="137">
        <f>CB13*1.17</f>
        <v>4.3757999999999999</v>
      </c>
      <c r="CC41" s="137">
        <f t="shared" si="73"/>
        <v>6.3765000000000054</v>
      </c>
      <c r="CD41" s="137">
        <f>CD13*1.17</f>
        <v>4.1534999999999993</v>
      </c>
      <c r="CE41" s="137">
        <f t="shared" si="74"/>
        <v>6.1424999999999939</v>
      </c>
      <c r="CF41" s="137">
        <f>CF13*1.17</f>
        <v>3.9545999999999997</v>
      </c>
      <c r="CG41" s="23"/>
      <c r="CH41" s="23"/>
      <c r="CI41" s="23"/>
      <c r="CJ41" s="23"/>
      <c r="CK41" s="23"/>
      <c r="CL41" s="23"/>
      <c r="CM41" s="23"/>
      <c r="CN41" s="23"/>
    </row>
    <row r="42" spans="2:92" ht="20.149999999999999" customHeight="1" x14ac:dyDescent="0.25">
      <c r="B42" s="579">
        <f>D39</f>
        <v>5.01</v>
      </c>
      <c r="C42" s="580" t="str">
        <f>IF(B42&lt;D42,"&lt;","&gt;")</f>
        <v>&gt;</v>
      </c>
      <c r="D42" s="581">
        <f>MIN(H76,AK84,BN84)</f>
        <v>4.8128802000000004</v>
      </c>
      <c r="E42" s="217"/>
      <c r="M42" s="148" t="s">
        <v>137</v>
      </c>
      <c r="N42" s="146">
        <f>N14*1.18</f>
        <v>6.6905999999999999</v>
      </c>
      <c r="O42" s="137">
        <f t="shared" si="57"/>
        <v>8.3426000000000045</v>
      </c>
      <c r="P42" s="137">
        <f>P14*1.18</f>
        <v>6.360199999999999</v>
      </c>
      <c r="Q42" s="137">
        <f t="shared" si="58"/>
        <v>7.9885999999999928</v>
      </c>
      <c r="R42" s="137">
        <f>R14*1.18</f>
        <v>6.0888</v>
      </c>
      <c r="S42" s="137">
        <f t="shared" si="59"/>
        <v>7.7408000000000028</v>
      </c>
      <c r="T42" s="137">
        <f>T14*1.18</f>
        <v>5.8527999999999993</v>
      </c>
      <c r="U42" s="137">
        <f t="shared" si="60"/>
        <v>5.7524999999999995</v>
      </c>
      <c r="V42" s="137">
        <f>V14*1.18</f>
        <v>5.6521999999999997</v>
      </c>
      <c r="W42" s="137">
        <f t="shared" si="61"/>
        <v>7.2452000000000041</v>
      </c>
      <c r="X42" s="137">
        <f>X14*1.18</f>
        <v>5.4751999999999992</v>
      </c>
      <c r="Y42" s="137">
        <f t="shared" si="62"/>
        <v>7.1271999999999931</v>
      </c>
      <c r="Z42" s="137">
        <f>Z14*1.18</f>
        <v>5.31</v>
      </c>
      <c r="AA42" s="23"/>
      <c r="AB42" s="23"/>
      <c r="AC42" s="23"/>
      <c r="AD42" s="23"/>
      <c r="AE42" s="23"/>
      <c r="AF42" s="23"/>
      <c r="AG42" s="23"/>
      <c r="AH42" s="23"/>
      <c r="AJ42" s="8"/>
      <c r="AP42" s="148" t="s">
        <v>137</v>
      </c>
      <c r="AQ42" s="146">
        <f>AQ14*1.18</f>
        <v>8.6611999999999991</v>
      </c>
      <c r="AR42" s="137">
        <f t="shared" si="63"/>
        <v>11.906199999999995</v>
      </c>
      <c r="AS42" s="137">
        <f>AS14*1.18</f>
        <v>8.0122</v>
      </c>
      <c r="AT42" s="137">
        <f t="shared" si="64"/>
        <v>11.127400000000003</v>
      </c>
      <c r="AU42" s="137">
        <f>AU14*1.18</f>
        <v>7.4929999999999994</v>
      </c>
      <c r="AV42" s="137">
        <f t="shared" si="65"/>
        <v>10.549199999999992</v>
      </c>
      <c r="AW42" s="137">
        <f>AW14*1.18</f>
        <v>7.0564</v>
      </c>
      <c r="AX42" s="137">
        <f t="shared" si="66"/>
        <v>6.8734999999999999</v>
      </c>
      <c r="AY42" s="137">
        <f>AY14*1.18</f>
        <v>6.6905999999999999</v>
      </c>
      <c r="AZ42" s="137">
        <f t="shared" si="67"/>
        <v>9.4518000000000004</v>
      </c>
      <c r="BA42" s="137">
        <f>BA14*1.18</f>
        <v>6.3837999999999999</v>
      </c>
      <c r="BB42" s="137">
        <f t="shared" si="68"/>
        <v>9.0978000000000048</v>
      </c>
      <c r="BC42" s="137">
        <f>BC14*1.18</f>
        <v>6.1123999999999992</v>
      </c>
      <c r="BD42" s="23"/>
      <c r="BE42" s="23"/>
      <c r="BF42" s="23"/>
      <c r="BG42" s="23"/>
      <c r="BH42" s="23"/>
      <c r="BI42" s="23"/>
      <c r="BJ42" s="23"/>
      <c r="BK42" s="23"/>
      <c r="BM42" s="8"/>
      <c r="BS42" s="148" t="s">
        <v>137</v>
      </c>
      <c r="BT42" s="146">
        <f>BT14*1.18</f>
        <v>9.876599999999998</v>
      </c>
      <c r="BU42" s="137">
        <f t="shared" si="69"/>
        <v>13.593599999999988</v>
      </c>
      <c r="BV42" s="137">
        <f>BV14*1.18</f>
        <v>9.1332000000000004</v>
      </c>
      <c r="BW42" s="137">
        <f t="shared" si="70"/>
        <v>12.744000000000007</v>
      </c>
      <c r="BX42" s="137">
        <f>BX14*1.18</f>
        <v>8.5313999999999997</v>
      </c>
      <c r="BY42" s="137">
        <f t="shared" si="71"/>
        <v>11.917999999999999</v>
      </c>
      <c r="BZ42" s="137">
        <f>BZ14*1.18</f>
        <v>8.0475999999999992</v>
      </c>
      <c r="CA42" s="137">
        <f t="shared" si="72"/>
        <v>7.8351999999999995</v>
      </c>
      <c r="CB42" s="137">
        <f>CB14*1.18</f>
        <v>7.6227999999999998</v>
      </c>
      <c r="CC42" s="137">
        <f t="shared" si="73"/>
        <v>10.808800000000002</v>
      </c>
      <c r="CD42" s="137">
        <f>CD14*1.18</f>
        <v>7.2687999999999997</v>
      </c>
      <c r="CE42" s="137">
        <f t="shared" si="74"/>
        <v>10.454800000000006</v>
      </c>
      <c r="CF42" s="137">
        <f>CF14*1.18</f>
        <v>6.9501999999999988</v>
      </c>
      <c r="CG42" s="23"/>
      <c r="CH42" s="23"/>
      <c r="CI42" s="23"/>
      <c r="CJ42" s="23"/>
      <c r="CK42" s="23"/>
      <c r="CL42" s="23"/>
      <c r="CM42" s="23"/>
      <c r="CN42" s="23"/>
    </row>
    <row r="43" spans="2:92" ht="20.149999999999999" customHeight="1" thickBot="1" x14ac:dyDescent="0.3">
      <c r="B43" s="579"/>
      <c r="C43" s="582"/>
      <c r="D43" s="581" t="str">
        <f>IF(B42&gt;D42,"Bedingung nicht erfüllt!","Bedingung erfüllt!")</f>
        <v>Bedingung nicht erfüllt!</v>
      </c>
      <c r="E43" s="253"/>
      <c r="M43" s="626" t="s">
        <v>138</v>
      </c>
      <c r="N43" s="146">
        <f>N15*1.19</f>
        <v>6.0094999999999992</v>
      </c>
      <c r="O43" s="137">
        <f t="shared" si="57"/>
        <v>7.6754999999999978</v>
      </c>
      <c r="P43" s="137">
        <f>P15*1.19</f>
        <v>5.6762999999999995</v>
      </c>
      <c r="Q43" s="137">
        <f t="shared" si="58"/>
        <v>7.2470999999999997</v>
      </c>
      <c r="R43" s="137">
        <f>R15*1.19</f>
        <v>5.4144999999999994</v>
      </c>
      <c r="S43" s="137">
        <f t="shared" si="59"/>
        <v>6.9971999999999897</v>
      </c>
      <c r="T43" s="137">
        <f>T15*1.19</f>
        <v>5.1884000000000006</v>
      </c>
      <c r="U43" s="137">
        <f t="shared" si="60"/>
        <v>5.0932000000000004</v>
      </c>
      <c r="V43" s="137">
        <f>V15*1.19</f>
        <v>4.9980000000000002</v>
      </c>
      <c r="W43" s="137">
        <f t="shared" si="61"/>
        <v>6.4974000000000078</v>
      </c>
      <c r="X43" s="137">
        <f>X15*1.19</f>
        <v>4.8313999999999995</v>
      </c>
      <c r="Y43" s="137">
        <f t="shared" si="62"/>
        <v>6.2593999999999923</v>
      </c>
      <c r="Z43" s="137">
        <f>Z15*1.19</f>
        <v>4.6886000000000001</v>
      </c>
      <c r="AA43" s="23"/>
      <c r="AB43" s="23"/>
      <c r="AC43" s="23"/>
      <c r="AD43" s="23"/>
      <c r="AE43" s="23"/>
      <c r="AF43" s="23"/>
      <c r="AG43" s="23"/>
      <c r="AH43" s="23"/>
      <c r="AJ43" s="8"/>
      <c r="AP43" s="150" t="s">
        <v>138</v>
      </c>
      <c r="AQ43" s="146">
        <f>AQ15*1.19</f>
        <v>7.3065999999999995</v>
      </c>
      <c r="AR43" s="137">
        <f t="shared" si="63"/>
        <v>10.281600000000003</v>
      </c>
      <c r="AS43" s="137">
        <f>AS15*1.19</f>
        <v>6.7115999999999989</v>
      </c>
      <c r="AT43" s="137">
        <f t="shared" si="64"/>
        <v>9.4961999999999946</v>
      </c>
      <c r="AU43" s="137">
        <f>AU15*1.19</f>
        <v>6.2474999999999996</v>
      </c>
      <c r="AV43" s="137">
        <f t="shared" si="65"/>
        <v>8.9130999999999965</v>
      </c>
      <c r="AW43" s="137">
        <f>AW15*1.19</f>
        <v>5.8666999999999998</v>
      </c>
      <c r="AX43" s="137">
        <f t="shared" si="66"/>
        <v>5.7060500000000003</v>
      </c>
      <c r="AY43" s="137">
        <f>AY15*1.19</f>
        <v>5.5453999999999999</v>
      </c>
      <c r="AZ43" s="137">
        <f t="shared" si="67"/>
        <v>8.0087000000000064</v>
      </c>
      <c r="BA43" s="137">
        <f>BA15*1.19</f>
        <v>5.2716999999999992</v>
      </c>
      <c r="BB43" s="137">
        <f t="shared" si="68"/>
        <v>7.651699999999984</v>
      </c>
      <c r="BC43" s="137">
        <f>BC15*1.19</f>
        <v>5.0337000000000005</v>
      </c>
      <c r="BD43" s="23"/>
      <c r="BE43" s="23"/>
      <c r="BF43" s="23"/>
      <c r="BG43" s="23"/>
      <c r="BH43" s="23"/>
      <c r="BI43" s="23"/>
      <c r="BJ43" s="23"/>
      <c r="BK43" s="23"/>
      <c r="BM43" s="8"/>
      <c r="BS43" s="150" t="s">
        <v>138</v>
      </c>
      <c r="BT43" s="146">
        <f>BT15*1.19</f>
        <v>8.3180999999999994</v>
      </c>
      <c r="BU43" s="137">
        <f t="shared" si="69"/>
        <v>11.709600000000002</v>
      </c>
      <c r="BV43" s="137">
        <f>BV15*1.19</f>
        <v>7.6397999999999993</v>
      </c>
      <c r="BW43" s="137">
        <f t="shared" si="70"/>
        <v>10.852799999999998</v>
      </c>
      <c r="BX43" s="137">
        <f>BX15*1.19</f>
        <v>7.1042999999999994</v>
      </c>
      <c r="BY43" s="137">
        <f t="shared" si="71"/>
        <v>10.186399999999994</v>
      </c>
      <c r="BZ43" s="137">
        <f>BZ15*1.19</f>
        <v>6.6639999999999997</v>
      </c>
      <c r="CA43" s="137">
        <f t="shared" si="72"/>
        <v>6.4855</v>
      </c>
      <c r="CB43" s="137">
        <f>CB15*1.19</f>
        <v>6.3069999999999995</v>
      </c>
      <c r="CC43" s="137">
        <f t="shared" si="73"/>
        <v>9.1986999999999917</v>
      </c>
      <c r="CD43" s="137">
        <f>CD15*1.19</f>
        <v>5.9857000000000005</v>
      </c>
      <c r="CE43" s="137">
        <f t="shared" si="74"/>
        <v>8.603700000000007</v>
      </c>
      <c r="CF43" s="137">
        <f>CF15*1.19</f>
        <v>5.7238999999999995</v>
      </c>
      <c r="CG43" s="23"/>
      <c r="CH43" s="23"/>
      <c r="CI43" s="23"/>
      <c r="CJ43" s="23"/>
      <c r="CK43" s="23"/>
      <c r="CL43" s="23"/>
      <c r="CM43" s="23"/>
      <c r="CN43" s="23"/>
    </row>
    <row r="44" spans="2:92" ht="20.149999999999999" customHeight="1" x14ac:dyDescent="0.25">
      <c r="B44" s="579" t="s">
        <v>402</v>
      </c>
      <c r="C44" s="582" t="s">
        <v>0</v>
      </c>
      <c r="D44" s="684">
        <f>(1000/VLOOKUP($D$41,Daten!$A$22:$B$25,2))*$D$39^4/$H$76^3</f>
        <v>22.604543462459251</v>
      </c>
      <c r="E44" s="253"/>
      <c r="M44" s="626" t="s">
        <v>463</v>
      </c>
      <c r="N44" s="146">
        <f>N16*1.21</f>
        <v>6.1105</v>
      </c>
      <c r="O44" s="137">
        <f t="shared" si="57"/>
        <v>7.8045000000000044</v>
      </c>
      <c r="P44" s="137">
        <f>P16*1.21</f>
        <v>5.7716999999999992</v>
      </c>
      <c r="Q44" s="137">
        <f t="shared" si="58"/>
        <v>7.5140999999999938</v>
      </c>
      <c r="R44" s="137">
        <f>R16*1.21</f>
        <v>5.4813000000000001</v>
      </c>
      <c r="S44" s="137">
        <f t="shared" si="59"/>
        <v>7.0906000000000038</v>
      </c>
      <c r="T44" s="137">
        <f>T16*1.21</f>
        <v>5.2513999999999994</v>
      </c>
      <c r="U44" s="137">
        <f t="shared" si="60"/>
        <v>5.1545999999999994</v>
      </c>
      <c r="V44" s="137">
        <f>V16*1.21</f>
        <v>5.0577999999999994</v>
      </c>
      <c r="W44" s="137">
        <f t="shared" si="61"/>
        <v>6.5823999999999963</v>
      </c>
      <c r="X44" s="137">
        <f>X16*1.21</f>
        <v>4.8883999999999999</v>
      </c>
      <c r="Y44" s="137">
        <f t="shared" si="62"/>
        <v>6.3403999999999989</v>
      </c>
      <c r="Z44" s="137">
        <f>Z16*1.21</f>
        <v>4.7431999999999999</v>
      </c>
      <c r="AA44" s="23"/>
      <c r="AB44" s="23"/>
      <c r="AC44" s="23"/>
      <c r="AD44" s="23"/>
      <c r="AE44" s="23"/>
      <c r="AF44" s="23"/>
      <c r="AG44" s="23"/>
      <c r="AH44" s="23"/>
      <c r="AJ44" s="24"/>
      <c r="AP44" s="626" t="s">
        <v>463</v>
      </c>
      <c r="AQ44" s="137">
        <f>AQ16*1.21</f>
        <v>7.8650000000000002</v>
      </c>
      <c r="AR44" s="137">
        <f t="shared" si="63"/>
        <v>11.192500000000004</v>
      </c>
      <c r="AS44" s="137">
        <f>AS16*1.21</f>
        <v>7.1994999999999996</v>
      </c>
      <c r="AT44" s="137">
        <f t="shared" si="64"/>
        <v>10.321300000000004</v>
      </c>
      <c r="AU44" s="137">
        <f>AU16*1.21</f>
        <v>6.6791999999999989</v>
      </c>
      <c r="AV44" s="137">
        <f t="shared" si="65"/>
        <v>9.5589999999999939</v>
      </c>
      <c r="AW44" s="137">
        <f>AW16*1.21</f>
        <v>6.2677999999999994</v>
      </c>
      <c r="AX44" s="137">
        <f t="shared" si="66"/>
        <v>6.0923499999999997</v>
      </c>
      <c r="AY44" s="137">
        <f>AY16*1.21</f>
        <v>5.9168999999999992</v>
      </c>
      <c r="AZ44" s="137">
        <f t="shared" si="67"/>
        <v>8.6393999999999931</v>
      </c>
      <c r="BA44" s="137">
        <f>BA16*1.21</f>
        <v>5.6143999999999998</v>
      </c>
      <c r="BB44" s="137">
        <f t="shared" si="68"/>
        <v>8.1554000000000002</v>
      </c>
      <c r="BC44" s="137">
        <f>BC16*1.21</f>
        <v>5.3602999999999996</v>
      </c>
      <c r="BD44" s="23"/>
      <c r="BE44" s="23"/>
      <c r="BF44" s="23"/>
      <c r="BG44" s="23"/>
      <c r="BH44" s="23"/>
      <c r="BI44" s="23"/>
      <c r="BJ44" s="23"/>
      <c r="BK44" s="23"/>
      <c r="BS44" s="626" t="s">
        <v>463</v>
      </c>
      <c r="BT44" s="137">
        <f>BT16*1.21</f>
        <v>8.9418999999999986</v>
      </c>
      <c r="BU44" s="137">
        <f t="shared" si="69"/>
        <v>12.692899999999998</v>
      </c>
      <c r="BV44" s="137">
        <f>BV16*1.21</f>
        <v>8.1916999999999991</v>
      </c>
      <c r="BW44" s="137">
        <f t="shared" si="70"/>
        <v>11.749099999999995</v>
      </c>
      <c r="BX44" s="137">
        <f>BX16*1.21</f>
        <v>7.5987999999999998</v>
      </c>
      <c r="BY44" s="137">
        <f t="shared" si="71"/>
        <v>10.902100000000001</v>
      </c>
      <c r="BZ44" s="137">
        <f>BZ16*1.21</f>
        <v>7.1268999999999991</v>
      </c>
      <c r="CA44" s="137">
        <f t="shared" si="72"/>
        <v>6.927249999999999</v>
      </c>
      <c r="CB44" s="137">
        <f>CB16*1.21</f>
        <v>6.7275999999999989</v>
      </c>
      <c r="CC44" s="137">
        <f t="shared" si="73"/>
        <v>9.7767999999999908</v>
      </c>
      <c r="CD44" s="137">
        <f>CD16*1.21</f>
        <v>6.3887999999999998</v>
      </c>
      <c r="CE44" s="137">
        <f t="shared" si="74"/>
        <v>9.2927999999999962</v>
      </c>
      <c r="CF44" s="137">
        <f>CF16*1.21</f>
        <v>6.0983999999999998</v>
      </c>
      <c r="CG44" s="23"/>
      <c r="CH44" s="23"/>
      <c r="CI44" s="23"/>
      <c r="CJ44" s="23"/>
      <c r="CK44" s="23"/>
      <c r="CL44" s="23"/>
      <c r="CM44" s="23"/>
      <c r="CN44" s="23"/>
    </row>
    <row r="45" spans="2:92" ht="20.149999999999999" customHeight="1" thickBot="1" x14ac:dyDescent="0.3">
      <c r="B45" s="748" t="s">
        <v>447</v>
      </c>
      <c r="C45" s="583" t="s">
        <v>0</v>
      </c>
      <c r="D45" s="685">
        <f>D39*1000/VLOOKUP($D$41,Daten!$A$22:$B$25,2)</f>
        <v>20.04</v>
      </c>
      <c r="E45" s="749"/>
      <c r="M45" s="626" t="s">
        <v>460</v>
      </c>
      <c r="N45" s="146">
        <f>N17*1.18</f>
        <v>8.6021999999999998</v>
      </c>
      <c r="O45" s="137">
        <f t="shared" si="57"/>
        <v>10.667200000000001</v>
      </c>
      <c r="P45" s="137">
        <f>P17*1.18</f>
        <v>8.1891999999999996</v>
      </c>
      <c r="Q45" s="137">
        <f t="shared" si="58"/>
        <v>10.242399999999995</v>
      </c>
      <c r="R45" s="137">
        <f>R17*1.18</f>
        <v>7.8470000000000004</v>
      </c>
      <c r="S45" s="137">
        <f t="shared" si="59"/>
        <v>9.9120000000000044</v>
      </c>
      <c r="T45" s="137">
        <f>T17*1.18</f>
        <v>7.5519999999999996</v>
      </c>
      <c r="U45" s="137">
        <f t="shared" si="60"/>
        <v>7.4280999999999997</v>
      </c>
      <c r="V45" s="137">
        <f>V17*1.18</f>
        <v>7.3041999999999998</v>
      </c>
      <c r="W45" s="137">
        <f t="shared" si="61"/>
        <v>9.3219999999999974</v>
      </c>
      <c r="X45" s="137">
        <f>X17*1.18</f>
        <v>7.08</v>
      </c>
      <c r="Y45" s="137">
        <f t="shared" si="62"/>
        <v>8.9680000000000035</v>
      </c>
      <c r="Z45" s="137">
        <f>Z17*1.18</f>
        <v>6.8911999999999995</v>
      </c>
      <c r="AA45" s="18"/>
      <c r="AB45" s="18"/>
      <c r="AC45" s="18"/>
      <c r="AD45" s="18"/>
      <c r="AE45" s="18"/>
      <c r="AF45" s="18"/>
      <c r="AG45" s="18"/>
      <c r="AH45" s="18"/>
      <c r="AP45" s="626" t="s">
        <v>460</v>
      </c>
      <c r="AQ45" s="137">
        <f>AQ17*1.18</f>
        <v>11.209999999999999</v>
      </c>
      <c r="AR45" s="137">
        <f t="shared" si="63"/>
        <v>15.221999999999994</v>
      </c>
      <c r="AS45" s="137">
        <f>AS17*1.18</f>
        <v>10.4076</v>
      </c>
      <c r="AT45" s="137">
        <f t="shared" si="64"/>
        <v>14.372400000000013</v>
      </c>
      <c r="AU45" s="137">
        <f>AU17*1.18</f>
        <v>9.7467999999999986</v>
      </c>
      <c r="AV45" s="137">
        <f t="shared" si="65"/>
        <v>13.546399999999993</v>
      </c>
      <c r="AW45" s="137">
        <f>AW17*1.18</f>
        <v>9.2039999999999988</v>
      </c>
      <c r="AX45" s="137">
        <f t="shared" si="66"/>
        <v>8.9739000000000004</v>
      </c>
      <c r="AY45" s="137">
        <f>AY17*1.18</f>
        <v>8.7438000000000002</v>
      </c>
      <c r="AZ45" s="137">
        <f t="shared" si="67"/>
        <v>12.354600000000012</v>
      </c>
      <c r="BA45" s="137">
        <f>BA17*1.18</f>
        <v>8.3425999999999991</v>
      </c>
      <c r="BB45" s="137">
        <f t="shared" si="68"/>
        <v>11.764599999999996</v>
      </c>
      <c r="BC45" s="137">
        <f>BC17*1.18</f>
        <v>8.0003999999999991</v>
      </c>
      <c r="BD45" s="18"/>
      <c r="BE45" s="18"/>
      <c r="BF45" s="18"/>
      <c r="BG45" s="18"/>
      <c r="BH45" s="18"/>
      <c r="BI45" s="18"/>
      <c r="BJ45" s="18"/>
      <c r="BK45" s="18"/>
      <c r="BS45" s="626" t="s">
        <v>460</v>
      </c>
      <c r="BT45" s="137">
        <f>BT17*1.18</f>
        <v>12.7912</v>
      </c>
      <c r="BU45" s="137">
        <f t="shared" si="69"/>
        <v>17.393200000000004</v>
      </c>
      <c r="BV45" s="137">
        <f>BV17*1.18</f>
        <v>11.870799999999999</v>
      </c>
      <c r="BW45" s="137">
        <f t="shared" si="70"/>
        <v>16.402000000000001</v>
      </c>
      <c r="BX45" s="137">
        <f>BX17*1.18</f>
        <v>11.115599999999999</v>
      </c>
      <c r="BY45" s="137">
        <f t="shared" si="71"/>
        <v>15.493399999999987</v>
      </c>
      <c r="BZ45" s="137">
        <f>BZ17*1.18</f>
        <v>10.4902</v>
      </c>
      <c r="CA45" s="137">
        <f t="shared" si="72"/>
        <v>10.2247</v>
      </c>
      <c r="CB45" s="137">
        <f>CB17*1.18</f>
        <v>9.9591999999999992</v>
      </c>
      <c r="CC45" s="137">
        <f t="shared" si="73"/>
        <v>13.994799999999994</v>
      </c>
      <c r="CD45" s="137">
        <f>CD17*1.18</f>
        <v>9.5107999999999997</v>
      </c>
      <c r="CE45" s="137">
        <f t="shared" si="74"/>
        <v>13.522800000000007</v>
      </c>
      <c r="CF45" s="137">
        <f>CF17*1.18</f>
        <v>9.1095999999999986</v>
      </c>
      <c r="CG45" s="23"/>
      <c r="CH45" s="18"/>
      <c r="CI45" s="18"/>
      <c r="CJ45" s="18"/>
      <c r="CK45" s="18"/>
      <c r="CL45" s="18"/>
      <c r="CM45" s="18"/>
      <c r="CN45" s="18"/>
    </row>
    <row r="46" spans="2:92" ht="20.149999999999999" customHeight="1" x14ac:dyDescent="0.25">
      <c r="B46" s="672" t="s">
        <v>439</v>
      </c>
      <c r="C46" s="595"/>
      <c r="D46" s="249"/>
      <c r="E46" s="596"/>
      <c r="G46" s="129" t="s">
        <v>214</v>
      </c>
      <c r="H46" s="130">
        <f>O53</f>
        <v>3.5333999999999999</v>
      </c>
      <c r="M46" s="626" t="s">
        <v>461</v>
      </c>
      <c r="N46" s="146">
        <f>N18*1.2</f>
        <v>6.3959999999999999</v>
      </c>
      <c r="O46" s="137">
        <f t="shared" si="57"/>
        <v>8.1359999999999992</v>
      </c>
      <c r="P46" s="137">
        <f>P18*1.2</f>
        <v>6.048</v>
      </c>
      <c r="Q46" s="137">
        <f t="shared" si="58"/>
        <v>7.7760000000000016</v>
      </c>
      <c r="R46" s="137">
        <f>R18*1.2</f>
        <v>5.76</v>
      </c>
      <c r="S46" s="137">
        <f t="shared" si="59"/>
        <v>7.3559999999999963</v>
      </c>
      <c r="T46" s="137">
        <f>T18*1.2</f>
        <v>5.532</v>
      </c>
      <c r="U46" s="137">
        <f t="shared" si="60"/>
        <v>5.4300000000000006</v>
      </c>
      <c r="V46" s="137">
        <f>V18*1.2</f>
        <v>5.3280000000000003</v>
      </c>
      <c r="W46" s="137">
        <f t="shared" si="61"/>
        <v>6.8400000000000105</v>
      </c>
      <c r="X46" s="137">
        <f>X18*1.2</f>
        <v>5.1599999999999993</v>
      </c>
      <c r="Y46" s="137">
        <f t="shared" si="62"/>
        <v>6.7199999999999953</v>
      </c>
      <c r="Z46" s="137">
        <f>Z18*1.2</f>
        <v>5.0039999999999996</v>
      </c>
      <c r="AA46" s="18"/>
      <c r="AB46" s="18"/>
      <c r="AC46" s="18"/>
      <c r="AD46" s="18"/>
      <c r="AE46" s="18"/>
      <c r="AF46" s="18"/>
      <c r="AG46" s="18"/>
      <c r="AH46" s="18"/>
      <c r="AP46" s="626" t="s">
        <v>461</v>
      </c>
      <c r="AQ46" s="137">
        <f>AQ18*1.2</f>
        <v>8.4599999999999991</v>
      </c>
      <c r="AR46" s="137">
        <f t="shared" si="63"/>
        <v>11.879999999999995</v>
      </c>
      <c r="AS46" s="137">
        <f>AS18*1.2</f>
        <v>7.7759999999999998</v>
      </c>
      <c r="AT46" s="137">
        <f t="shared" si="64"/>
        <v>11.016</v>
      </c>
      <c r="AU46" s="137">
        <f>AU18*1.2</f>
        <v>7.2359999999999998</v>
      </c>
      <c r="AV46" s="137">
        <f t="shared" si="65"/>
        <v>10.343999999999998</v>
      </c>
      <c r="AW46" s="137">
        <f>AW18*1.2</f>
        <v>6.7919999999999998</v>
      </c>
      <c r="AX46" s="137">
        <f t="shared" si="66"/>
        <v>6.6120000000000001</v>
      </c>
      <c r="AY46" s="137">
        <f>AY18*1.2</f>
        <v>6.4320000000000004</v>
      </c>
      <c r="AZ46" s="137">
        <f t="shared" si="67"/>
        <v>9.3480000000000079</v>
      </c>
      <c r="BA46" s="137">
        <f>BA18*1.2</f>
        <v>6.1079999999999997</v>
      </c>
      <c r="BB46" s="137">
        <f t="shared" si="68"/>
        <v>8.7479999999999905</v>
      </c>
      <c r="BC46" s="137">
        <f>BC18*1.2</f>
        <v>5.8440000000000003</v>
      </c>
      <c r="BS46" s="626" t="s">
        <v>461</v>
      </c>
      <c r="BT46" s="137">
        <f>BT18*1.2</f>
        <v>9.6359999999999992</v>
      </c>
      <c r="BU46" s="137">
        <f t="shared" si="69"/>
        <v>13.535999999999998</v>
      </c>
      <c r="BV46" s="137">
        <f>BV18*1.2</f>
        <v>8.8559999999999999</v>
      </c>
      <c r="BW46" s="137">
        <f t="shared" si="70"/>
        <v>12.600000000000005</v>
      </c>
      <c r="BX46" s="137">
        <f>BX18*1.2</f>
        <v>8.2319999999999993</v>
      </c>
      <c r="BY46" s="137">
        <f t="shared" si="71"/>
        <v>11.759999999999993</v>
      </c>
      <c r="BZ46" s="137">
        <f>BZ18*1.2</f>
        <v>7.7279999999999998</v>
      </c>
      <c r="CA46" s="137">
        <f t="shared" si="72"/>
        <v>7.5179999999999998</v>
      </c>
      <c r="CB46" s="137">
        <f>CB18*1.2</f>
        <v>7.3079999999999998</v>
      </c>
      <c r="CC46" s="137">
        <f t="shared" si="73"/>
        <v>10.44</v>
      </c>
      <c r="CD46" s="137">
        <f>CD18*1.2</f>
        <v>6.96</v>
      </c>
      <c r="CE46" s="137">
        <f t="shared" si="74"/>
        <v>10.08</v>
      </c>
      <c r="CF46" s="137">
        <f>CF18*1.2</f>
        <v>6.6479999999999997</v>
      </c>
      <c r="CG46" s="23"/>
    </row>
    <row r="47" spans="2:92" ht="20.149999999999999" customHeight="1" thickBot="1" x14ac:dyDescent="0.3">
      <c r="B47" s="587" t="s">
        <v>402</v>
      </c>
      <c r="C47" s="583" t="s">
        <v>0</v>
      </c>
      <c r="D47" s="685">
        <f>(1000/VLOOKUP($D$41,Daten!$A$22:$B$25,2))*$D$39^4/($H$76*H73)^3</f>
        <v>22.604543462459251</v>
      </c>
      <c r="E47" s="588"/>
      <c r="G47" s="129" t="s">
        <v>241</v>
      </c>
      <c r="H47" s="130">
        <f>H46*H29*H30*H31*H32*H33</f>
        <v>3.4697988</v>
      </c>
      <c r="M47" s="626" t="s">
        <v>462</v>
      </c>
      <c r="N47" s="146">
        <f>N19*1.2</f>
        <v>7.0919999999999996</v>
      </c>
      <c r="O47" s="137">
        <f t="shared" si="57"/>
        <v>9.0120000000000022</v>
      </c>
      <c r="P47" s="137">
        <f>P19*1.2</f>
        <v>6.7079999999999993</v>
      </c>
      <c r="Q47" s="137">
        <f t="shared" si="58"/>
        <v>8.5799999999999965</v>
      </c>
      <c r="R47" s="137">
        <f>R19*1.2</f>
        <v>6.3959999999999999</v>
      </c>
      <c r="S47" s="137">
        <f t="shared" si="59"/>
        <v>8.2439999999999927</v>
      </c>
      <c r="T47" s="137">
        <f>T19*1.2</f>
        <v>6.1320000000000006</v>
      </c>
      <c r="U47" s="137">
        <f t="shared" si="60"/>
        <v>6.0180000000000007</v>
      </c>
      <c r="V47" s="137">
        <f>V19*1.2</f>
        <v>5.9039999999999999</v>
      </c>
      <c r="W47" s="137">
        <f t="shared" si="61"/>
        <v>7.6320000000000014</v>
      </c>
      <c r="X47" s="137">
        <f>X19*1.2</f>
        <v>5.7119999999999997</v>
      </c>
      <c r="Y47" s="137">
        <f t="shared" si="62"/>
        <v>7.3919999999999995</v>
      </c>
      <c r="Z47" s="137">
        <f>Z19*1.2</f>
        <v>5.5439999999999996</v>
      </c>
      <c r="AP47" s="150" t="s">
        <v>462</v>
      </c>
      <c r="AQ47" s="137">
        <f>AQ19*1.2</f>
        <v>9.347999999999999</v>
      </c>
      <c r="AR47" s="137">
        <f t="shared" si="63"/>
        <v>13.127999999999993</v>
      </c>
      <c r="AS47" s="137">
        <f>AS19*1.2</f>
        <v>8.5920000000000005</v>
      </c>
      <c r="AT47" s="137">
        <f t="shared" si="64"/>
        <v>12.192000000000004</v>
      </c>
      <c r="AU47" s="137">
        <f>AU19*1.2</f>
        <v>7.992</v>
      </c>
      <c r="AV47" s="137">
        <f t="shared" si="65"/>
        <v>11.435999999999996</v>
      </c>
      <c r="AW47" s="137">
        <f>AW19*1.2</f>
        <v>7.5</v>
      </c>
      <c r="AX47" s="137">
        <f t="shared" si="66"/>
        <v>7.2960000000000003</v>
      </c>
      <c r="AY47" s="137">
        <f>AY19*1.2</f>
        <v>7.0919999999999996</v>
      </c>
      <c r="AZ47" s="137">
        <f t="shared" si="67"/>
        <v>10.223999999999998</v>
      </c>
      <c r="BA47" s="137">
        <f>BA19*1.2</f>
        <v>6.7439999999999998</v>
      </c>
      <c r="BB47" s="137">
        <f t="shared" si="68"/>
        <v>9.7439999999999962</v>
      </c>
      <c r="BC47" s="137">
        <f>BC19*1.2</f>
        <v>6.444</v>
      </c>
      <c r="BS47" s="150" t="s">
        <v>462</v>
      </c>
      <c r="BT47" s="137">
        <f>BT19*1.2</f>
        <v>10.632</v>
      </c>
      <c r="BU47" s="137">
        <f t="shared" si="69"/>
        <v>14.892000000000003</v>
      </c>
      <c r="BV47" s="137">
        <f>BV19*1.2</f>
        <v>9.7799999999999994</v>
      </c>
      <c r="BW47" s="137">
        <f t="shared" si="70"/>
        <v>13.883999999999997</v>
      </c>
      <c r="BX47" s="137">
        <f>BX19*1.2</f>
        <v>9.0960000000000001</v>
      </c>
      <c r="BY47" s="137">
        <f t="shared" si="71"/>
        <v>12.959999999999994</v>
      </c>
      <c r="BZ47" s="137">
        <f>BZ19*1.2</f>
        <v>8.5440000000000005</v>
      </c>
      <c r="CA47" s="137">
        <f t="shared" si="72"/>
        <v>8.31</v>
      </c>
      <c r="CB47" s="137">
        <f>CB19*1.2</f>
        <v>8.0760000000000005</v>
      </c>
      <c r="CC47" s="137">
        <f t="shared" si="73"/>
        <v>11.640000000000008</v>
      </c>
      <c r="CD47" s="137">
        <f>CD19*1.2</f>
        <v>7.68</v>
      </c>
      <c r="CE47" s="137">
        <f t="shared" si="74"/>
        <v>11.159999999999995</v>
      </c>
      <c r="CF47" s="137">
        <f>CF19*1.2</f>
        <v>7.3319999999999999</v>
      </c>
      <c r="CG47" s="23"/>
    </row>
    <row r="48" spans="2:92" ht="20.149999999999999" customHeight="1" x14ac:dyDescent="0.25">
      <c r="M48" s="626" t="s">
        <v>469</v>
      </c>
      <c r="N48" s="146">
        <f>N21*0.86</f>
        <v>4.4634</v>
      </c>
      <c r="O48" s="137">
        <f t="shared" si="57"/>
        <v>5.7103999999999981</v>
      </c>
      <c r="P48" s="146">
        <f>P21*0.86</f>
        <v>4.2140000000000004</v>
      </c>
      <c r="Q48" s="137">
        <f t="shared" si="58"/>
        <v>5.4008000000000056</v>
      </c>
      <c r="R48" s="146">
        <f>R21*0.86</f>
        <v>4.0161999999999995</v>
      </c>
      <c r="S48" s="137">
        <f t="shared" si="59"/>
        <v>5.2201999999999966</v>
      </c>
      <c r="T48" s="146">
        <f>T21*0.86</f>
        <v>3.8441999999999998</v>
      </c>
      <c r="U48" s="137">
        <f t="shared" si="60"/>
        <v>3.7753999999999999</v>
      </c>
      <c r="V48" s="146">
        <f>V21*0.86</f>
        <v>3.7065999999999995</v>
      </c>
      <c r="W48" s="137">
        <f t="shared" si="61"/>
        <v>4.8675999999999959</v>
      </c>
      <c r="X48" s="146">
        <f>X21*0.86</f>
        <v>3.5775999999999999</v>
      </c>
      <c r="Y48" s="137">
        <f t="shared" si="62"/>
        <v>4.6095999999999968</v>
      </c>
      <c r="Z48" s="146">
        <f>Z21*0.86</f>
        <v>3.4744000000000002</v>
      </c>
      <c r="AP48" s="626" t="s">
        <v>469</v>
      </c>
      <c r="AQ48" s="146">
        <f>AQ21*0.86</f>
        <v>6.3468</v>
      </c>
      <c r="AR48" s="137">
        <f t="shared" si="63"/>
        <v>8.9698000000000029</v>
      </c>
      <c r="AS48" s="146">
        <f>AS21*0.86</f>
        <v>5.8221999999999996</v>
      </c>
      <c r="AT48" s="137">
        <f t="shared" si="64"/>
        <v>8.2989999999999995</v>
      </c>
      <c r="AU48" s="146">
        <f>AU21*0.86</f>
        <v>5.4093999999999998</v>
      </c>
      <c r="AV48" s="137">
        <f t="shared" si="65"/>
        <v>7.7571999999999974</v>
      </c>
      <c r="AW48" s="146">
        <f>AW21*0.86</f>
        <v>5.0739999999999998</v>
      </c>
      <c r="AX48" s="137">
        <f t="shared" si="66"/>
        <v>4.9321000000000002</v>
      </c>
      <c r="AY48" s="146">
        <f>AY21*0.86</f>
        <v>4.7902000000000005</v>
      </c>
      <c r="AZ48" s="137">
        <f t="shared" si="67"/>
        <v>6.8800000000000061</v>
      </c>
      <c r="BA48" s="146">
        <f>BA21*0.86</f>
        <v>4.5579999999999998</v>
      </c>
      <c r="BB48" s="137">
        <f t="shared" si="68"/>
        <v>6.6220000000000017</v>
      </c>
      <c r="BC48" s="146">
        <f>BC21*0.86</f>
        <v>4.3515999999999995</v>
      </c>
      <c r="BS48" s="626" t="s">
        <v>469</v>
      </c>
      <c r="BT48" s="146">
        <f>BT21*0.86</f>
        <v>7.2154000000000007</v>
      </c>
      <c r="BU48" s="137">
        <f t="shared" si="69"/>
        <v>10.182400000000005</v>
      </c>
      <c r="BV48" s="146">
        <f>BV21*0.86</f>
        <v>6.6219999999999999</v>
      </c>
      <c r="BW48" s="137">
        <f t="shared" si="70"/>
        <v>9.4599999999999991</v>
      </c>
      <c r="BX48" s="146">
        <f>BX21*0.86</f>
        <v>6.149</v>
      </c>
      <c r="BY48" s="137">
        <f t="shared" si="71"/>
        <v>8.7977999999999987</v>
      </c>
      <c r="BZ48" s="146">
        <f>BZ21*0.86</f>
        <v>5.7706</v>
      </c>
      <c r="CA48" s="137">
        <f t="shared" si="72"/>
        <v>5.6115000000000004</v>
      </c>
      <c r="CB48" s="146">
        <f>CB21*0.86</f>
        <v>5.4523999999999999</v>
      </c>
      <c r="CC48" s="137">
        <f t="shared" si="73"/>
        <v>7.9292000000000069</v>
      </c>
      <c r="CD48" s="146">
        <f>CD21*0.86</f>
        <v>5.1771999999999991</v>
      </c>
      <c r="CE48" s="137">
        <f t="shared" si="74"/>
        <v>7.4991999999999859</v>
      </c>
      <c r="CF48" s="146">
        <f>CF21*0.86</f>
        <v>4.9450000000000003</v>
      </c>
      <c r="CG48" s="18"/>
    </row>
    <row r="49" spans="2:92" ht="20.149999999999999" customHeight="1" thickBot="1" x14ac:dyDescent="0.3">
      <c r="C49" s="24"/>
      <c r="D49" s="602"/>
      <c r="M49" s="626" t="s">
        <v>470</v>
      </c>
      <c r="N49" s="146">
        <f>N22*0.98</f>
        <v>5.3311999999999999</v>
      </c>
      <c r="O49" s="137">
        <f t="shared" si="57"/>
        <v>6.7521999999999966</v>
      </c>
      <c r="P49" s="146">
        <f>P22*0.98</f>
        <v>5.0470000000000006</v>
      </c>
      <c r="Q49" s="137">
        <f t="shared" si="58"/>
        <v>6.458200000000005</v>
      </c>
      <c r="R49" s="146">
        <f>R22*0.98</f>
        <v>4.8117999999999999</v>
      </c>
      <c r="S49" s="137">
        <f t="shared" si="59"/>
        <v>6.1152000000000015</v>
      </c>
      <c r="T49" s="146">
        <f>T22*0.98</f>
        <v>4.6255999999999995</v>
      </c>
      <c r="U49" s="137">
        <f t="shared" si="60"/>
        <v>4.5423</v>
      </c>
      <c r="V49" s="146">
        <f>V22*0.98</f>
        <v>4.4589999999999996</v>
      </c>
      <c r="W49" s="137">
        <f t="shared" si="61"/>
        <v>5.7819999999999938</v>
      </c>
      <c r="X49" s="146">
        <f>X22*0.98</f>
        <v>4.3120000000000003</v>
      </c>
      <c r="Y49" s="137">
        <f t="shared" si="62"/>
        <v>5.5860000000000056</v>
      </c>
      <c r="Z49" s="146">
        <f>Z22*0.98</f>
        <v>4.1845999999999997</v>
      </c>
      <c r="AP49" s="626" t="s">
        <v>470</v>
      </c>
      <c r="AQ49" s="146">
        <f>AQ22*0.98</f>
        <v>7.7713999999999999</v>
      </c>
      <c r="AR49" s="137">
        <f t="shared" si="63"/>
        <v>10.8584</v>
      </c>
      <c r="AS49" s="146">
        <f>AS22*0.98</f>
        <v>7.1539999999999999</v>
      </c>
      <c r="AT49" s="137">
        <f t="shared" si="64"/>
        <v>10.094000000000001</v>
      </c>
      <c r="AU49" s="146">
        <f>AU22*0.98</f>
        <v>6.6639999999999997</v>
      </c>
      <c r="AV49" s="137">
        <f t="shared" si="65"/>
        <v>9.4765999999999941</v>
      </c>
      <c r="AW49" s="146">
        <f>AW22*0.98</f>
        <v>6.2622</v>
      </c>
      <c r="AX49" s="137">
        <f t="shared" si="66"/>
        <v>6.0956000000000001</v>
      </c>
      <c r="AY49" s="146">
        <f>AY22*0.98</f>
        <v>5.9289999999999994</v>
      </c>
      <c r="AZ49" s="137">
        <f t="shared" si="67"/>
        <v>8.4867999999999935</v>
      </c>
      <c r="BA49" s="146">
        <f>BA22*0.98</f>
        <v>5.6448</v>
      </c>
      <c r="BB49" s="137">
        <f t="shared" si="68"/>
        <v>8.1928000000000019</v>
      </c>
      <c r="BC49" s="146">
        <f>BC22*0.98</f>
        <v>5.39</v>
      </c>
      <c r="BS49" s="626" t="s">
        <v>470</v>
      </c>
      <c r="BT49" s="146">
        <f>BT22*0.98</f>
        <v>8.8493999999999993</v>
      </c>
      <c r="BU49" s="137">
        <f t="shared" si="69"/>
        <v>12.377399999999994</v>
      </c>
      <c r="BV49" s="146">
        <f>BV22*0.98</f>
        <v>8.1438000000000006</v>
      </c>
      <c r="BW49" s="137">
        <f t="shared" si="70"/>
        <v>11.495400000000004</v>
      </c>
      <c r="BX49" s="146">
        <f>BX22*0.98</f>
        <v>7.5852000000000004</v>
      </c>
      <c r="BY49" s="137">
        <f t="shared" si="71"/>
        <v>10.740799999999998</v>
      </c>
      <c r="BZ49" s="146">
        <f>BZ22*0.98</f>
        <v>7.1344000000000003</v>
      </c>
      <c r="CA49" s="137">
        <f t="shared" si="72"/>
        <v>6.9432999999999998</v>
      </c>
      <c r="CB49" s="146">
        <f>CB22*0.98</f>
        <v>6.7521999999999993</v>
      </c>
      <c r="CC49" s="137">
        <f t="shared" si="73"/>
        <v>9.7509999999999977</v>
      </c>
      <c r="CD49" s="146">
        <f>CD22*0.98</f>
        <v>6.4189999999999996</v>
      </c>
      <c r="CE49" s="137">
        <f t="shared" si="74"/>
        <v>9.2609999999999992</v>
      </c>
      <c r="CF49" s="146">
        <f>CF22*0.98</f>
        <v>6.1347999999999994</v>
      </c>
    </row>
    <row r="50" spans="2:92" ht="20.149999999999999" customHeight="1" thickBot="1" x14ac:dyDescent="0.3">
      <c r="B50" s="18"/>
      <c r="C50" s="125"/>
      <c r="D50" s="469"/>
      <c r="E50" s="18"/>
      <c r="G50" s="778" t="s">
        <v>218</v>
      </c>
      <c r="H50" s="779"/>
      <c r="J50" s="503" t="s">
        <v>210</v>
      </c>
      <c r="K50" s="503" t="s">
        <v>394</v>
      </c>
      <c r="M50" s="150"/>
      <c r="N50" s="146"/>
      <c r="O50" s="137"/>
      <c r="P50" s="146"/>
      <c r="Q50" s="137"/>
      <c r="R50" s="146"/>
      <c r="S50" s="137"/>
      <c r="T50" s="146"/>
      <c r="U50" s="137"/>
      <c r="V50" s="146"/>
      <c r="W50" s="137"/>
      <c r="X50" s="146"/>
      <c r="Y50" s="137"/>
      <c r="Z50" s="146"/>
      <c r="AP50" s="150"/>
      <c r="AQ50" s="146"/>
      <c r="AR50" s="137"/>
      <c r="AS50" s="146"/>
      <c r="AT50" s="137"/>
      <c r="AU50" s="146"/>
      <c r="AV50" s="137"/>
      <c r="AW50" s="146"/>
      <c r="AX50" s="137"/>
      <c r="AY50" s="146"/>
      <c r="AZ50" s="137"/>
      <c r="BA50" s="146"/>
      <c r="BB50" s="137"/>
      <c r="BC50" s="146"/>
      <c r="BS50" s="150"/>
      <c r="BT50" s="146"/>
      <c r="BU50" s="137"/>
      <c r="BV50" s="146"/>
      <c r="BW50" s="137"/>
      <c r="BX50" s="146"/>
      <c r="BY50" s="137"/>
      <c r="BZ50" s="146"/>
      <c r="CA50" s="137"/>
      <c r="CB50" s="146"/>
      <c r="CC50" s="137"/>
      <c r="CD50" s="146"/>
      <c r="CE50" s="137"/>
      <c r="CF50" s="146"/>
    </row>
    <row r="51" spans="2:92" ht="20.149999999999999" customHeight="1" x14ac:dyDescent="0.25">
      <c r="B51" s="18"/>
      <c r="C51" s="120"/>
      <c r="D51" s="122"/>
      <c r="E51" s="18"/>
      <c r="G51" s="185" t="s">
        <v>207</v>
      </c>
      <c r="H51" s="522">
        <f>H2</f>
        <v>1</v>
      </c>
      <c r="I51" s="108"/>
      <c r="J51" s="504">
        <v>1</v>
      </c>
      <c r="K51" s="505">
        <v>1</v>
      </c>
      <c r="L51" s="108"/>
    </row>
    <row r="52" spans="2:92" ht="20.149999999999999" customHeight="1" x14ac:dyDescent="0.25">
      <c r="B52" s="18"/>
      <c r="C52" s="120"/>
      <c r="D52" s="119"/>
      <c r="E52" s="18"/>
      <c r="G52" s="186" t="s">
        <v>208</v>
      </c>
      <c r="H52" s="522">
        <f>H3</f>
        <v>0.98199999999999998</v>
      </c>
      <c r="I52" s="107"/>
      <c r="J52" s="504">
        <v>10</v>
      </c>
      <c r="K52" s="505">
        <v>1</v>
      </c>
      <c r="L52" s="107"/>
      <c r="M52" s="135" t="s">
        <v>28</v>
      </c>
      <c r="N52" s="135" t="s">
        <v>17</v>
      </c>
      <c r="O52" s="138" t="s">
        <v>21</v>
      </c>
      <c r="AJ52" s="129" t="s">
        <v>201</v>
      </c>
      <c r="AK52" s="130">
        <f>AR53</f>
        <v>3.9604500000000002</v>
      </c>
      <c r="AP52" s="135" t="s">
        <v>28</v>
      </c>
      <c r="AQ52" s="135" t="s">
        <v>17</v>
      </c>
      <c r="AR52" s="138" t="s">
        <v>21</v>
      </c>
      <c r="BM52" s="129" t="s">
        <v>206</v>
      </c>
      <c r="BN52" s="130">
        <f>BU53</f>
        <v>4.5045000000000002</v>
      </c>
      <c r="BS52" s="135" t="s">
        <v>28</v>
      </c>
      <c r="BT52" s="135" t="s">
        <v>17</v>
      </c>
      <c r="BU52" s="138" t="s">
        <v>21</v>
      </c>
    </row>
    <row r="53" spans="2:92" ht="20.149999999999999" customHeight="1" x14ac:dyDescent="0.25">
      <c r="G53" s="185" t="s">
        <v>209</v>
      </c>
      <c r="H53" s="523">
        <f>H4</f>
        <v>1</v>
      </c>
      <c r="I53" s="107"/>
      <c r="J53" s="504" t="str">
        <f>IF(AND($D$9&gt;J52,$D$9&lt;J54),$D$9,"nicht interpolieren")</f>
        <v>nicht interpolieren</v>
      </c>
      <c r="K53" s="505" t="e">
        <f>K52-(K52-K54)*(J53-J52)/(J54-J52)</f>
        <v>#VALUE!</v>
      </c>
      <c r="L53" s="107"/>
      <c r="M53" s="135">
        <f>IF($D$19="","",MATCH($D$19,M32:M50))</f>
        <v>10</v>
      </c>
      <c r="N53" s="135">
        <f>IF($D$12="","",MATCH($D$12,N31:Z31,0))</f>
        <v>8</v>
      </c>
      <c r="O53" s="139">
        <f>IF(OR($D$19="",$D$12=""),0,INDEX(N32:Z50,M53,N53))</f>
        <v>3.5333999999999999</v>
      </c>
      <c r="AJ53" s="129" t="s">
        <v>242</v>
      </c>
      <c r="AK53" s="130">
        <f>AK52*AK32*AK33*AK34*AK35*AK36</f>
        <v>3.8574783000000004</v>
      </c>
      <c r="AP53" s="135">
        <f>IF($D$19="","",MATCH($D$19,AP32:AP50))</f>
        <v>10</v>
      </c>
      <c r="AQ53" s="135">
        <f>IF($D$12="","",MATCH($D$12,AQ31:BC31,0))</f>
        <v>8</v>
      </c>
      <c r="AR53" s="139">
        <f>IF(OR($D$19="",$D$12=""),0,INDEX(AQ32:BC50,AP53,AQ53))</f>
        <v>3.9604500000000002</v>
      </c>
      <c r="BM53" s="129" t="s">
        <v>243</v>
      </c>
      <c r="BN53" s="130">
        <f>BN52*BN32*BN33*BN34*BN35*BN36</f>
        <v>45045</v>
      </c>
      <c r="BS53" s="135">
        <f>IF($D$19="","",MATCH($D$19,BS32:BS50))</f>
        <v>10</v>
      </c>
      <c r="BT53" s="135">
        <f>IF($D$12="","",MATCH($D$12,BT31:CF31,0))</f>
        <v>8</v>
      </c>
      <c r="BU53" s="139">
        <f>IF(OR($D$19="",$D$12=""),0,INDEX(BT32:CF50,BS53,BT53))</f>
        <v>4.5045000000000002</v>
      </c>
    </row>
    <row r="54" spans="2:92" ht="20.149999999999999" customHeight="1" x14ac:dyDescent="0.25">
      <c r="G54" s="185" t="s">
        <v>210</v>
      </c>
      <c r="H54" s="522">
        <f>VLOOKUP($D$9,J51:K54,2)</f>
        <v>1</v>
      </c>
      <c r="I54" s="107"/>
      <c r="J54" s="520">
        <v>30</v>
      </c>
      <c r="K54" s="521">
        <v>0.99</v>
      </c>
      <c r="L54" s="107"/>
    </row>
    <row r="55" spans="2:92" ht="20.149999999999999" customHeight="1" thickBot="1" x14ac:dyDescent="0.3">
      <c r="G55" s="187" t="s">
        <v>211</v>
      </c>
      <c r="H55" s="524">
        <f>IF(AND($D$12&lt;0.8,OR($D$11=$M$2,$D$11=$M$6,$D$11=$M$8,$D$11=$M$13)),0.99,IF(AND($D$12&gt;=0.8,OR($D$11=$M$3,$D$11=$M$7,$D$11=$M$9,$D$11=$M$14,$D$11=$M$15)),0.97,IF(AND($D$12&lt;0.8,OR($D$11=$M$3,$D$11=$M$7,$D$11=$M$9,$D$11=$M$14,$D$11=$M$15)),0.95,1)))</f>
        <v>1</v>
      </c>
      <c r="I55" s="123"/>
      <c r="J55" s="519"/>
      <c r="K55" s="316"/>
      <c r="L55" s="109"/>
    </row>
    <row r="56" spans="2:92" ht="20.149999999999999" customHeight="1" thickBot="1" x14ac:dyDescent="0.3">
      <c r="G56" s="187" t="s">
        <v>213</v>
      </c>
      <c r="H56" s="522">
        <f>VLOOKUP($D$27,Daten!$A$44:$B$47,2)</f>
        <v>0.93</v>
      </c>
      <c r="I56" s="110"/>
      <c r="J56" s="110"/>
      <c r="K56" s="110"/>
      <c r="L56" s="110"/>
      <c r="M56" s="728" t="s">
        <v>215</v>
      </c>
      <c r="N56" s="727">
        <v>1</v>
      </c>
      <c r="O56" s="633">
        <f>IF(AND('Ermittlung Schneelast'!$D$19&gt;1,'Ermittlung Schneelast'!$D$19&lt;1.5),'Ermittlung Schneelast'!$D$19,0)</f>
        <v>0</v>
      </c>
      <c r="P56" s="633">
        <v>1.5</v>
      </c>
      <c r="Q56" s="633">
        <f>IF(AND('Ermittlung Schneelast'!$D$19&gt;1.5,'Ermittlung Schneelast'!$D$19&lt;2),'Ermittlung Schneelast'!$D$19,0)</f>
        <v>0</v>
      </c>
      <c r="R56" s="633">
        <v>2</v>
      </c>
      <c r="S56" s="633">
        <f>IF(AND('Ermittlung Schneelast'!$D$19&gt;2,'Ermittlung Schneelast'!$D$19&lt;2.5),'Ermittlung Schneelast'!$D$19,0)</f>
        <v>0</v>
      </c>
      <c r="T56" s="633">
        <v>2.5</v>
      </c>
      <c r="U56" s="633">
        <f>IF(AND('Ermittlung Schneelast'!$D$19&gt;2.5,'Ermittlung Schneelast'!$D$19&lt;3),'Ermittlung Schneelast'!$D$19,0)</f>
        <v>0</v>
      </c>
      <c r="V56" s="633">
        <v>3</v>
      </c>
      <c r="W56" s="633">
        <f>IF(AND('Ermittlung Schneelast'!$D$19&gt;3,'Ermittlung Schneelast'!$D$19&lt;3.5),'Ermittlung Schneelast'!$D$19,0)</f>
        <v>0</v>
      </c>
      <c r="X56" s="633">
        <v>3.5</v>
      </c>
      <c r="Y56" s="633">
        <f>IF(AND('Ermittlung Schneelast'!$D$19&gt;3.5,'Ermittlung Schneelast'!$D$19&lt;4),'Ermittlung Schneelast'!$D$19,0)</f>
        <v>0</v>
      </c>
      <c r="Z56" s="633">
        <v>4</v>
      </c>
      <c r="AA56" s="633">
        <f>IF(AND('Ermittlung Schneelast'!$D$19&gt;4,'Ermittlung Schneelast'!$D$19&lt;4.5),'Ermittlung Schneelast'!$D$19,0)</f>
        <v>0</v>
      </c>
      <c r="AB56" s="633">
        <v>4.5</v>
      </c>
      <c r="AC56" s="633">
        <f>IF(AND('Ermittlung Schneelast'!$D$19&gt;4.5,'Ermittlung Schneelast'!$D$19&lt;5),'Ermittlung Schneelast'!$D$19,0)</f>
        <v>0</v>
      </c>
      <c r="AD56" s="633">
        <v>5</v>
      </c>
      <c r="AE56" s="633">
        <f>IF(AND('Ermittlung Schneelast'!$D$19&gt;5,'Ermittlung Schneelast'!$D$19&lt;5.5),'Ermittlung Schneelast'!$D$19,0)</f>
        <v>0</v>
      </c>
      <c r="AF56" s="633">
        <v>5.5</v>
      </c>
      <c r="AG56" s="633">
        <f>IF(AND('Ermittlung Schneelast'!$D$19&gt;5.5,'Ermittlung Schneelast'!$D$19&lt;6),'Ermittlung Schneelast'!$D$19,0)</f>
        <v>0</v>
      </c>
      <c r="AH56" s="634">
        <v>6</v>
      </c>
      <c r="AI56" s="23"/>
      <c r="AJ56" s="724" t="s">
        <v>219</v>
      </c>
      <c r="AK56" s="725"/>
      <c r="AP56" s="728" t="s">
        <v>220</v>
      </c>
      <c r="AQ56" s="727">
        <v>1</v>
      </c>
      <c r="AR56" s="633">
        <f>IF(AND('Ermittlung Schneelast'!$D$19&gt;1,'Ermittlung Schneelast'!$D$19&lt;1.5),'Ermittlung Schneelast'!$D$19,0)</f>
        <v>0</v>
      </c>
      <c r="AS56" s="633">
        <v>1.5</v>
      </c>
      <c r="AT56" s="633">
        <f>IF(AND('Ermittlung Schneelast'!$D$19&gt;1.5,'Ermittlung Schneelast'!$D$19&lt;2),'Ermittlung Schneelast'!$D$19,0)</f>
        <v>0</v>
      </c>
      <c r="AU56" s="633">
        <v>2</v>
      </c>
      <c r="AV56" s="633">
        <f>IF(AND('Ermittlung Schneelast'!$D$19&gt;2,'Ermittlung Schneelast'!$D$19&lt;2.5),'Ermittlung Schneelast'!$D$19,0)</f>
        <v>0</v>
      </c>
      <c r="AW56" s="633">
        <v>2.5</v>
      </c>
      <c r="AX56" s="633">
        <f>IF(AND('Ermittlung Schneelast'!$D$19&gt;2.5,'Ermittlung Schneelast'!$D$19&lt;3),'Ermittlung Schneelast'!$D$19,0)</f>
        <v>0</v>
      </c>
      <c r="AY56" s="633">
        <v>3</v>
      </c>
      <c r="AZ56" s="633">
        <f>IF(AND('Ermittlung Schneelast'!$D$19&gt;3,'Ermittlung Schneelast'!$D$19&lt;3.5),'Ermittlung Schneelast'!$D$19,0)</f>
        <v>0</v>
      </c>
      <c r="BA56" s="633">
        <v>3.5</v>
      </c>
      <c r="BB56" s="633">
        <f>IF(AND('Ermittlung Schneelast'!$D$19&gt;3.5,'Ermittlung Schneelast'!$D$19&lt;4),'Ermittlung Schneelast'!$D$19,0)</f>
        <v>0</v>
      </c>
      <c r="BC56" s="633">
        <v>4</v>
      </c>
      <c r="BD56" s="633">
        <f>IF(AND('Ermittlung Schneelast'!$D$19&gt;4,'Ermittlung Schneelast'!$D$19&lt;4.5),'Ermittlung Schneelast'!$D$19,0)</f>
        <v>0</v>
      </c>
      <c r="BE56" s="633">
        <v>4.5</v>
      </c>
      <c r="BF56" s="633">
        <f>IF(AND('Ermittlung Schneelast'!$D$19&gt;4.5,'Ermittlung Schneelast'!$D$19&lt;5),'Ermittlung Schneelast'!$D$19,0)</f>
        <v>0</v>
      </c>
      <c r="BG56" s="633">
        <v>5</v>
      </c>
      <c r="BH56" s="633">
        <f>IF(AND('Ermittlung Schneelast'!$D$19&gt;5,'Ermittlung Schneelast'!$D$19&lt;5.5),'Ermittlung Schneelast'!$D$19,0)</f>
        <v>0</v>
      </c>
      <c r="BI56" s="633">
        <v>5.5</v>
      </c>
      <c r="BJ56" s="633">
        <f>IF(AND('Ermittlung Schneelast'!$D$19&gt;5.5,'Ermittlung Schneelast'!$D$19&lt;6),'Ermittlung Schneelast'!$D$19,0)</f>
        <v>0</v>
      </c>
      <c r="BK56" s="634">
        <v>6</v>
      </c>
      <c r="BM56" s="724" t="s">
        <v>227</v>
      </c>
      <c r="BN56" s="725"/>
      <c r="BS56" s="194" t="s">
        <v>228</v>
      </c>
      <c r="BT56" s="629">
        <v>1</v>
      </c>
      <c r="BU56" s="195">
        <f>IF(AND('Ermittlung Schneelast'!$D$19&gt;1,'Ermittlung Schneelast'!$D$19&lt;1.5),'Ermittlung Schneelast'!$D$19,0)</f>
        <v>0</v>
      </c>
      <c r="BV56" s="195">
        <v>1.5</v>
      </c>
      <c r="BW56" s="195">
        <f>IF(AND('Ermittlung Schneelast'!$D$19&gt;1.5,'Ermittlung Schneelast'!$D$19&lt;2),'Ermittlung Schneelast'!$D$19,0)</f>
        <v>0</v>
      </c>
      <c r="BX56" s="195">
        <v>2</v>
      </c>
      <c r="BY56" s="195">
        <f>IF(AND('Ermittlung Schneelast'!$D$19&gt;2,'Ermittlung Schneelast'!$D$19&lt;2.5),'Ermittlung Schneelast'!$D$19,0)</f>
        <v>0</v>
      </c>
      <c r="BZ56" s="195">
        <v>2.5</v>
      </c>
      <c r="CA56" s="195">
        <f>IF(AND('Ermittlung Schneelast'!$D$19&gt;2.5,'Ermittlung Schneelast'!$D$19&lt;3),'Ermittlung Schneelast'!$D$19,0)</f>
        <v>0</v>
      </c>
      <c r="CB56" s="195">
        <v>3</v>
      </c>
      <c r="CC56" s="195">
        <f>IF(AND('Ermittlung Schneelast'!$D$19&gt;3,'Ermittlung Schneelast'!$D$19&lt;3.5),'Ermittlung Schneelast'!$D$19,0)</f>
        <v>0</v>
      </c>
      <c r="CD56" s="195">
        <v>3.5</v>
      </c>
      <c r="CE56" s="195">
        <f>IF(AND('Ermittlung Schneelast'!$D$19&gt;3.5,'Ermittlung Schneelast'!$D$19&lt;4),'Ermittlung Schneelast'!$D$19,0)</f>
        <v>0</v>
      </c>
      <c r="CF56" s="195">
        <v>4</v>
      </c>
      <c r="CG56" s="195">
        <f>IF(AND('Ermittlung Schneelast'!$D$19&gt;4,'Ermittlung Schneelast'!$D$19&lt;4.5),'Ermittlung Schneelast'!$D$19,0)</f>
        <v>0</v>
      </c>
      <c r="CH56" s="195">
        <v>4.5</v>
      </c>
      <c r="CI56" s="195">
        <f>IF(AND('Ermittlung Schneelast'!$D$19&gt;4.5,'Ermittlung Schneelast'!$D$19&lt;5),'Ermittlung Schneelast'!$D$19,0)</f>
        <v>0</v>
      </c>
      <c r="CJ56" s="633">
        <v>5</v>
      </c>
      <c r="CK56" s="633">
        <f>IF(AND('Ermittlung Schneelast'!$D$19&gt;5,'Ermittlung Schneelast'!$D$19&lt;5.5),'Ermittlung Schneelast'!$D$19,0)</f>
        <v>0</v>
      </c>
      <c r="CL56" s="633">
        <v>5.5</v>
      </c>
      <c r="CM56" s="633">
        <f>IF(AND('Ermittlung Schneelast'!$D$19&gt;5.5,'Ermittlung Schneelast'!$D$19&lt;6),'Ermittlung Schneelast'!$D$19,0)</f>
        <v>0</v>
      </c>
      <c r="CN56" s="634">
        <v>6</v>
      </c>
    </row>
    <row r="57" spans="2:92" ht="20.149999999999999" customHeight="1" x14ac:dyDescent="0.25">
      <c r="I57" s="118"/>
      <c r="J57" s="24"/>
      <c r="K57" s="24"/>
      <c r="L57" s="24"/>
      <c r="M57" s="729" t="s">
        <v>64</v>
      </c>
      <c r="N57" s="197">
        <f t="shared" ref="N57:N58" si="75">P57+(R57-T57)</f>
        <v>3.98</v>
      </c>
      <c r="O57" s="198">
        <f t="shared" ref="O57:O64" si="76">N57-(N57-P57)*(O$56-N$56)/(P$56-N$56)</f>
        <v>4.4800000000000004</v>
      </c>
      <c r="P57" s="198">
        <f t="shared" ref="P57:P58" si="77">R57+(R57-T57)</f>
        <v>3.73</v>
      </c>
      <c r="Q57" s="198">
        <f t="shared" ref="Q57:Q64" si="78">P57-(P57-R57)*(Q$56-P$56)/(R$56-P$56)</f>
        <v>4.4800000000000004</v>
      </c>
      <c r="R57" s="198">
        <v>3.48</v>
      </c>
      <c r="S57" s="198">
        <f t="shared" ref="S57:S64" si="79">R57-(R57-T57)*(S$56-R$56)/(T$56-R$56)</f>
        <v>4.4800000000000004</v>
      </c>
      <c r="T57" s="198">
        <v>3.23</v>
      </c>
      <c r="U57" s="198">
        <f t="shared" ref="U57:U64" si="80">T57-(T57-V57)*(U$56-T$56)/(V$56-T$56)</f>
        <v>4.1300000000000008</v>
      </c>
      <c r="V57" s="198">
        <v>3.05</v>
      </c>
      <c r="W57" s="198">
        <f t="shared" ref="W57:W64" si="81">V57-(V57-X57)*(W$56-V$56)/(X$56-V$56)</f>
        <v>3.9499999999999993</v>
      </c>
      <c r="X57" s="198">
        <v>2.9</v>
      </c>
      <c r="Y57" s="198">
        <f t="shared" ref="Y57:Y64" si="82">X57-(X57-Z57)*(Y$56-X$56)/(Z$56-X$56)</f>
        <v>3.8099999999999992</v>
      </c>
      <c r="Z57" s="198">
        <v>2.77</v>
      </c>
      <c r="AA57" s="198">
        <f t="shared" ref="AA57:AA64" si="83">Z57-(Z57-AB57)*(AA$56-Z$56)/(AB$56-Z$56)</f>
        <v>3.5700000000000007</v>
      </c>
      <c r="AB57" s="198">
        <v>2.67</v>
      </c>
      <c r="AC57" s="198">
        <f t="shared" ref="AC57:AC64" si="84">AB57-(AB57-AD57)*(AC$56-AB$56)/(AD$56-AB$56)</f>
        <v>3.4799999999999986</v>
      </c>
      <c r="AD57" s="198">
        <v>2.58</v>
      </c>
      <c r="AE57" s="198">
        <f t="shared" ref="AE57:AE64" si="85">AD57-(AD57-AF57)*(AE$56-AD$56)/(AF$56-AD$56)</f>
        <v>3.3800000000000008</v>
      </c>
      <c r="AF57" s="198">
        <v>2.5</v>
      </c>
      <c r="AG57" s="198">
        <f t="shared" ref="AG57:AG64" si="86">AF57-(AF57-AH57)*(AG$56-AF$56)/(AH$56-AF$56)</f>
        <v>3.2699999999999982</v>
      </c>
      <c r="AH57" s="199">
        <v>2.4300000000000002</v>
      </c>
      <c r="AI57" s="23"/>
      <c r="AJ57" s="185" t="s">
        <v>221</v>
      </c>
      <c r="AK57" s="522">
        <f>AK2</f>
        <v>1</v>
      </c>
      <c r="AL57" s="108"/>
      <c r="AM57" s="108"/>
      <c r="AN57" s="108"/>
      <c r="AO57" s="108"/>
      <c r="AP57" s="729" t="s">
        <v>64</v>
      </c>
      <c r="AQ57" s="197">
        <f>AS57+(AU57-AW57)</f>
        <v>4.84</v>
      </c>
      <c r="AR57" s="198">
        <f t="shared" ref="AR57:AR64" si="87">AQ57-(AQ57-AS57)*(AR$56-AQ$56)/(AS$56-AQ$56)</f>
        <v>5.68</v>
      </c>
      <c r="AS57" s="198">
        <f>AU57+(AU57-AW57)</f>
        <v>4.42</v>
      </c>
      <c r="AT57" s="198">
        <f t="shared" ref="AT57:AT64" si="88">AS57-(AS57-AU57)*(AT$56-AS$56)/(AU$56-AS$56)</f>
        <v>5.68</v>
      </c>
      <c r="AU57" s="198">
        <v>4</v>
      </c>
      <c r="AV57" s="198">
        <f t="shared" ref="AV57:AV64" si="89">AU57-(AU57-AW57)*(AV$56-AU$56)/(AW$56-AU$56)</f>
        <v>5.68</v>
      </c>
      <c r="AW57" s="198">
        <v>3.58</v>
      </c>
      <c r="AX57" s="198">
        <f t="shared" ref="AX57:AX64" si="90">AW57-(AW57-AY57)*(AX$56-AW$56)/(AY$56-AW$56)</f>
        <v>5.0800000000000018</v>
      </c>
      <c r="AY57" s="198">
        <v>3.28</v>
      </c>
      <c r="AZ57" s="198">
        <f t="shared" ref="AZ57:AZ64" si="91">AY57-(AY57-BA57)*(AZ$56-AY$56)/(BA$56-AY$56)</f>
        <v>4.7199999999999989</v>
      </c>
      <c r="BA57" s="198">
        <v>3.04</v>
      </c>
      <c r="BB57" s="198">
        <f t="shared" ref="BB57:BB64" si="92">BA57-(BA57-BC57)*(BB$56-BA$56)/(BC$56-BA$56)</f>
        <v>4.3699999999999992</v>
      </c>
      <c r="BC57" s="198">
        <v>2.85</v>
      </c>
      <c r="BD57" s="198">
        <f t="shared" ref="BD57:BD64" si="93">BC57-(BC57-BE57)*(BD$56-BC$56)/(BE$56-BC$56)</f>
        <v>4.2099999999999991</v>
      </c>
      <c r="BE57" s="198">
        <v>2.68</v>
      </c>
      <c r="BF57" s="198">
        <f t="shared" ref="BF57:BF64" si="94">BE57-(BE57-BG57)*(BF$56-BE$56)/(BG$56-BE$56)</f>
        <v>3.8500000000000032</v>
      </c>
      <c r="BG57" s="198">
        <v>2.5499999999999998</v>
      </c>
      <c r="BH57" s="198">
        <f t="shared" ref="BH57:BH64" si="95">BG57-(BG57-BI57)*(BH$56-BG$56)/(BI$56-BG$56)</f>
        <v>3.7499999999999964</v>
      </c>
      <c r="BI57" s="198">
        <v>2.4300000000000002</v>
      </c>
      <c r="BJ57" s="198">
        <f t="shared" ref="BJ57:BJ64" si="96">BI57-(BI57-BK57)*(BJ$56-BI$56)/(BK$56-BI$56)</f>
        <v>3.5300000000000011</v>
      </c>
      <c r="BK57" s="199">
        <v>2.33</v>
      </c>
      <c r="BM57" s="185" t="s">
        <v>229</v>
      </c>
      <c r="BN57" s="522">
        <f>BN2</f>
        <v>1</v>
      </c>
      <c r="BO57" s="108"/>
      <c r="BP57" s="108"/>
      <c r="BQ57" s="108"/>
      <c r="BR57" s="108"/>
      <c r="BS57" s="196" t="s">
        <v>64</v>
      </c>
      <c r="BT57" s="632">
        <f t="shared" ref="BT57:BT58" si="97">BV57+(BX57-BZ57)</f>
        <v>5.45</v>
      </c>
      <c r="BU57" s="197">
        <f t="shared" ref="BU57:BU64" si="98">BT57-(BT57-BV57)*(BU$56-BT$56)/(BV$56-BT$56)</f>
        <v>6.37</v>
      </c>
      <c r="BV57" s="197">
        <f>BX57+(BX57-BZ57)</f>
        <v>4.99</v>
      </c>
      <c r="BW57" s="197">
        <f t="shared" ref="BW57:BW64" si="99">BV57-(BV57-BX57)*(BW$56-BV$56)/(BX$56-BV$56)</f>
        <v>6.37</v>
      </c>
      <c r="BX57" s="197">
        <v>4.53</v>
      </c>
      <c r="BY57" s="197">
        <f t="shared" ref="BY57:BY64" si="100">BX57-(BX57-BZ57)*(BY$56-BX$56)/(BZ$56-BX$56)</f>
        <v>6.37</v>
      </c>
      <c r="BZ57" s="197">
        <v>4.07</v>
      </c>
      <c r="CA57" s="197">
        <f t="shared" ref="CA57:CA64" si="101">BZ57-(BZ57-CB57)*(CA$56-BZ$56)/(CB$56-BZ$56)</f>
        <v>5.82</v>
      </c>
      <c r="CB57" s="198">
        <v>3.72</v>
      </c>
      <c r="CC57" s="197">
        <f t="shared" ref="CC57:CC64" si="102">CB57-(CB57-CD57)*(CC$56-CB$56)/(CD$56-CB$56)</f>
        <v>5.34</v>
      </c>
      <c r="CD57" s="198">
        <v>3.45</v>
      </c>
      <c r="CE57" s="197">
        <f t="shared" ref="CE57:CE64" si="103">CD57-(CD57-CF57)*(CE$56-CD$56)/(CF$56-CD$56)</f>
        <v>4.990000000000002</v>
      </c>
      <c r="CF57" s="198">
        <v>3.23</v>
      </c>
      <c r="CG57" s="197">
        <f t="shared" ref="CG57:CG64" si="104">CF57-(CF57-CH57)*(CG$56-CF$56)/(CH$56-CF$56)</f>
        <v>4.6700000000000017</v>
      </c>
      <c r="CH57" s="198">
        <v>3.05</v>
      </c>
      <c r="CI57" s="627">
        <f t="shared" ref="CI57:CI64" si="105">CH57-(CH57-CJ57)*(CI$56-CH$56)/(CJ$56-CH$56)</f>
        <v>4.4899999999999967</v>
      </c>
      <c r="CJ57" s="198">
        <v>2.89</v>
      </c>
      <c r="CK57" s="198">
        <f t="shared" ref="CK57:CK64" si="106">CJ57-(CJ57-CL57)*(CK$56-CJ$56)/(CL$56-CJ$56)</f>
        <v>4.1900000000000031</v>
      </c>
      <c r="CL57" s="198">
        <v>2.76</v>
      </c>
      <c r="CM57" s="198">
        <f t="shared" ref="CM57:CM64" si="107">CL57-(CL57-CN57)*(CM$56-CL$56)/(CN$56-CL$56)</f>
        <v>4.0799999999999965</v>
      </c>
      <c r="CN57" s="199">
        <v>2.64</v>
      </c>
    </row>
    <row r="58" spans="2:92" ht="20.149999999999999" customHeight="1" x14ac:dyDescent="0.25">
      <c r="G58" s="589" t="s">
        <v>448</v>
      </c>
      <c r="H58" s="522">
        <f>VLOOKUP($B$32,Daten!$A$104:$B$110,2)</f>
        <v>1.34</v>
      </c>
      <c r="I58" s="10"/>
      <c r="J58" s="10"/>
      <c r="K58" s="10"/>
      <c r="L58" s="10"/>
      <c r="M58" s="730" t="s">
        <v>65</v>
      </c>
      <c r="N58" s="201">
        <f t="shared" si="75"/>
        <v>4.78</v>
      </c>
      <c r="O58" s="202">
        <f t="shared" si="76"/>
        <v>5.36</v>
      </c>
      <c r="P58" s="202">
        <f t="shared" si="77"/>
        <v>4.49</v>
      </c>
      <c r="Q58" s="202">
        <f t="shared" si="78"/>
        <v>5.36</v>
      </c>
      <c r="R58" s="202">
        <v>4.2</v>
      </c>
      <c r="S58" s="202">
        <f t="shared" si="79"/>
        <v>5.36</v>
      </c>
      <c r="T58" s="202">
        <v>3.91</v>
      </c>
      <c r="U58" s="202">
        <f t="shared" si="80"/>
        <v>5.0100000000000016</v>
      </c>
      <c r="V58" s="202">
        <v>3.69</v>
      </c>
      <c r="W58" s="202">
        <f t="shared" si="81"/>
        <v>4.7099999999999991</v>
      </c>
      <c r="X58" s="202">
        <v>3.52</v>
      </c>
      <c r="Y58" s="202">
        <f t="shared" si="82"/>
        <v>4.5699999999999994</v>
      </c>
      <c r="Z58" s="202">
        <v>3.37</v>
      </c>
      <c r="AA58" s="202">
        <f t="shared" si="83"/>
        <v>4.4099999999999993</v>
      </c>
      <c r="AB58" s="202">
        <v>3.24</v>
      </c>
      <c r="AC58" s="202">
        <f t="shared" si="84"/>
        <v>4.2300000000000031</v>
      </c>
      <c r="AD58" s="202">
        <v>3.13</v>
      </c>
      <c r="AE58" s="202">
        <f t="shared" si="85"/>
        <v>4.0299999999999985</v>
      </c>
      <c r="AF58" s="202">
        <v>3.04</v>
      </c>
      <c r="AG58" s="202">
        <f t="shared" si="86"/>
        <v>4.0299999999999985</v>
      </c>
      <c r="AH58" s="203">
        <v>2.95</v>
      </c>
      <c r="AI58" s="23"/>
      <c r="AJ58" s="186" t="s">
        <v>222</v>
      </c>
      <c r="AK58" s="522">
        <f>AK3</f>
        <v>0.97399999999999998</v>
      </c>
      <c r="AL58" s="107"/>
      <c r="AM58" s="107"/>
      <c r="AN58" s="107"/>
      <c r="AO58" s="107"/>
      <c r="AP58" s="730" t="s">
        <v>65</v>
      </c>
      <c r="AQ58" s="201">
        <f t="shared" ref="AQ58" si="108">AS58+(AU58-AW58)</f>
        <v>5.8400000000000007</v>
      </c>
      <c r="AR58" s="202">
        <f t="shared" si="87"/>
        <v>6.8200000000000012</v>
      </c>
      <c r="AS58" s="202">
        <f t="shared" ref="AS58" si="109">AU58+(AU58-AW58)</f>
        <v>5.3500000000000005</v>
      </c>
      <c r="AT58" s="202">
        <f t="shared" si="88"/>
        <v>6.8200000000000012</v>
      </c>
      <c r="AU58" s="202">
        <v>4.8600000000000003</v>
      </c>
      <c r="AV58" s="202">
        <f t="shared" si="89"/>
        <v>6.8200000000000012</v>
      </c>
      <c r="AW58" s="202">
        <v>4.37</v>
      </c>
      <c r="AX58" s="202">
        <f t="shared" si="90"/>
        <v>6.2200000000000006</v>
      </c>
      <c r="AY58" s="202">
        <v>4</v>
      </c>
      <c r="AZ58" s="202">
        <f t="shared" si="91"/>
        <v>5.6799999999999988</v>
      </c>
      <c r="BA58" s="202">
        <v>3.72</v>
      </c>
      <c r="BB58" s="202">
        <f t="shared" si="92"/>
        <v>5.4000000000000021</v>
      </c>
      <c r="BC58" s="202">
        <v>3.48</v>
      </c>
      <c r="BD58" s="202">
        <f t="shared" si="93"/>
        <v>5</v>
      </c>
      <c r="BE58" s="202">
        <v>3.29</v>
      </c>
      <c r="BF58" s="202">
        <f t="shared" si="94"/>
        <v>4.8199999999999994</v>
      </c>
      <c r="BG58" s="202">
        <v>3.12</v>
      </c>
      <c r="BH58" s="202">
        <f t="shared" si="95"/>
        <v>4.5200000000000014</v>
      </c>
      <c r="BI58" s="202">
        <v>2.98</v>
      </c>
      <c r="BJ58" s="202">
        <f t="shared" si="96"/>
        <v>4.3000000000000007</v>
      </c>
      <c r="BK58" s="203">
        <v>2.86</v>
      </c>
      <c r="BM58" s="209" t="s">
        <v>235</v>
      </c>
      <c r="BN58" s="522">
        <f>BN3</f>
        <v>10000</v>
      </c>
      <c r="BO58" s="107"/>
      <c r="BP58" s="107"/>
      <c r="BQ58" s="107"/>
      <c r="BR58" s="107"/>
      <c r="BS58" s="200" t="s">
        <v>65</v>
      </c>
      <c r="BT58" s="630">
        <f t="shared" si="97"/>
        <v>6.6399999999999988</v>
      </c>
      <c r="BU58" s="201">
        <f t="shared" si="98"/>
        <v>7.759999999999998</v>
      </c>
      <c r="BV58" s="201">
        <f t="shared" ref="BV58" si="110">BX58+(BX58-BZ58)</f>
        <v>6.0799999999999992</v>
      </c>
      <c r="BW58" s="201">
        <f t="shared" si="99"/>
        <v>7.759999999999998</v>
      </c>
      <c r="BX58" s="201">
        <v>5.52</v>
      </c>
      <c r="BY58" s="197">
        <f t="shared" si="100"/>
        <v>7.759999999999998</v>
      </c>
      <c r="BZ58" s="201">
        <v>4.96</v>
      </c>
      <c r="CA58" s="197">
        <f t="shared" si="101"/>
        <v>7.06</v>
      </c>
      <c r="CB58" s="202">
        <v>4.54</v>
      </c>
      <c r="CC58" s="197">
        <f t="shared" si="102"/>
        <v>6.4600000000000017</v>
      </c>
      <c r="CD58" s="202">
        <v>4.22</v>
      </c>
      <c r="CE58" s="197">
        <f t="shared" si="103"/>
        <v>6.1099999999999968</v>
      </c>
      <c r="CF58" s="202">
        <v>3.95</v>
      </c>
      <c r="CG58" s="197">
        <f t="shared" si="104"/>
        <v>5.7100000000000017</v>
      </c>
      <c r="CH58" s="202">
        <v>3.73</v>
      </c>
      <c r="CI58" s="627">
        <f t="shared" si="105"/>
        <v>5.4399999999999995</v>
      </c>
      <c r="CJ58" s="202">
        <v>3.54</v>
      </c>
      <c r="CK58" s="202">
        <f t="shared" si="106"/>
        <v>5.1400000000000015</v>
      </c>
      <c r="CL58" s="202">
        <v>3.38</v>
      </c>
      <c r="CM58" s="202">
        <f t="shared" si="107"/>
        <v>4.9199999999999964</v>
      </c>
      <c r="CN58" s="203">
        <v>3.24</v>
      </c>
    </row>
    <row r="59" spans="2:92" ht="20.149999999999999" customHeight="1" x14ac:dyDescent="0.25">
      <c r="B59" s="18"/>
      <c r="C59" s="120"/>
      <c r="D59" s="124"/>
      <c r="E59" s="18"/>
      <c r="M59" s="731" t="s">
        <v>554</v>
      </c>
      <c r="N59" s="201">
        <f t="shared" ref="N59:N64" si="111">P59+(R59-T59)</f>
        <v>9.5400000000000009</v>
      </c>
      <c r="O59" s="202">
        <f t="shared" si="76"/>
        <v>10.680000000000001</v>
      </c>
      <c r="P59" s="202">
        <f t="shared" ref="P59:P64" si="112">R59+(R59-T59)</f>
        <v>8.9700000000000006</v>
      </c>
      <c r="Q59" s="202">
        <f t="shared" si="78"/>
        <v>10.680000000000001</v>
      </c>
      <c r="R59" s="202">
        <v>8.4</v>
      </c>
      <c r="S59" s="202">
        <f t="shared" si="79"/>
        <v>10.680000000000001</v>
      </c>
      <c r="T59" s="202">
        <v>7.83</v>
      </c>
      <c r="U59" s="202">
        <f t="shared" si="80"/>
        <v>10.030000000000001</v>
      </c>
      <c r="V59" s="202">
        <v>7.39</v>
      </c>
      <c r="W59" s="202">
        <f t="shared" si="81"/>
        <v>9.5499999999999972</v>
      </c>
      <c r="X59" s="202">
        <v>7.03</v>
      </c>
      <c r="Y59" s="202">
        <f t="shared" si="82"/>
        <v>9.06</v>
      </c>
      <c r="Z59" s="202">
        <v>6.74</v>
      </c>
      <c r="AA59" s="202">
        <f t="shared" si="83"/>
        <v>9.06</v>
      </c>
      <c r="AB59" s="202">
        <v>6.45</v>
      </c>
      <c r="AC59" s="202">
        <f t="shared" si="84"/>
        <v>8.1600000000000037</v>
      </c>
      <c r="AD59" s="202">
        <v>6.26</v>
      </c>
      <c r="AE59" s="202">
        <f t="shared" si="85"/>
        <v>8.1599999999999948</v>
      </c>
      <c r="AF59" s="202">
        <v>6.07</v>
      </c>
      <c r="AG59" s="202">
        <f t="shared" si="86"/>
        <v>8.0500000000000078</v>
      </c>
      <c r="AH59" s="203">
        <v>5.89</v>
      </c>
      <c r="AI59" s="23"/>
      <c r="AJ59" s="185" t="s">
        <v>223</v>
      </c>
      <c r="AK59" s="523">
        <f>AK4</f>
        <v>1</v>
      </c>
      <c r="AL59" s="107"/>
      <c r="AM59" s="107"/>
      <c r="AN59" s="107"/>
      <c r="AO59" s="107"/>
      <c r="AP59" s="731" t="s">
        <v>554</v>
      </c>
      <c r="AQ59" s="201">
        <f t="shared" ref="AQ59:AQ64" si="113">AS59+(AU59-AW59)</f>
        <v>9.5400000000000009</v>
      </c>
      <c r="AR59" s="202">
        <f t="shared" si="87"/>
        <v>10.680000000000001</v>
      </c>
      <c r="AS59" s="202">
        <f t="shared" ref="AS59:AS64" si="114">AU59+(AU59-AW59)</f>
        <v>8.9700000000000006</v>
      </c>
      <c r="AT59" s="202">
        <f t="shared" si="88"/>
        <v>10.680000000000001</v>
      </c>
      <c r="AU59" s="202">
        <v>8.4</v>
      </c>
      <c r="AV59" s="202">
        <f t="shared" si="89"/>
        <v>10.680000000000001</v>
      </c>
      <c r="AW59" s="202">
        <v>7.83</v>
      </c>
      <c r="AX59" s="202">
        <f t="shared" si="90"/>
        <v>10.030000000000001</v>
      </c>
      <c r="AY59" s="202">
        <v>7.39</v>
      </c>
      <c r="AZ59" s="202">
        <f t="shared" si="91"/>
        <v>9.5499999999999972</v>
      </c>
      <c r="BA59" s="202">
        <v>7.03</v>
      </c>
      <c r="BB59" s="202">
        <f t="shared" si="92"/>
        <v>9.06</v>
      </c>
      <c r="BC59" s="202">
        <v>6.74</v>
      </c>
      <c r="BD59" s="202">
        <f t="shared" si="93"/>
        <v>9.06</v>
      </c>
      <c r="BE59" s="202">
        <v>6.45</v>
      </c>
      <c r="BF59" s="202">
        <f t="shared" si="94"/>
        <v>8.1600000000000037</v>
      </c>
      <c r="BG59" s="202">
        <v>6.26</v>
      </c>
      <c r="BH59" s="202">
        <f t="shared" si="95"/>
        <v>8.1599999999999948</v>
      </c>
      <c r="BI59" s="202">
        <v>6.07</v>
      </c>
      <c r="BJ59" s="202">
        <f t="shared" si="96"/>
        <v>8.0500000000000078</v>
      </c>
      <c r="BK59" s="203">
        <v>5.89</v>
      </c>
      <c r="BM59" s="185" t="s">
        <v>230</v>
      </c>
      <c r="BN59" s="523">
        <f>BN4</f>
        <v>1</v>
      </c>
      <c r="BO59" s="107"/>
      <c r="BP59" s="107"/>
      <c r="BQ59" s="107"/>
      <c r="BR59" s="107"/>
      <c r="BS59" s="661" t="s">
        <v>554</v>
      </c>
      <c r="BT59" s="630">
        <f t="shared" ref="BT59:BT64" si="115">BV59+(BX59-BZ59)</f>
        <v>9.5400000000000009</v>
      </c>
      <c r="BU59" s="201">
        <f t="shared" si="98"/>
        <v>10.680000000000001</v>
      </c>
      <c r="BV59" s="201">
        <f t="shared" ref="BV59:BV64" si="116">BX59+(BX59-BZ59)</f>
        <v>8.9700000000000006</v>
      </c>
      <c r="BW59" s="201">
        <f t="shared" si="99"/>
        <v>10.680000000000001</v>
      </c>
      <c r="BX59" s="201">
        <v>8.4</v>
      </c>
      <c r="BY59" s="197">
        <f t="shared" si="100"/>
        <v>10.680000000000001</v>
      </c>
      <c r="BZ59" s="202">
        <v>7.83</v>
      </c>
      <c r="CA59" s="197">
        <f t="shared" si="101"/>
        <v>10.030000000000001</v>
      </c>
      <c r="CB59" s="202">
        <v>7.39</v>
      </c>
      <c r="CC59" s="197">
        <f t="shared" si="102"/>
        <v>9.5499999999999972</v>
      </c>
      <c r="CD59" s="202">
        <v>7.03</v>
      </c>
      <c r="CE59" s="197">
        <f t="shared" si="103"/>
        <v>9.06</v>
      </c>
      <c r="CF59" s="202">
        <v>6.74</v>
      </c>
      <c r="CG59" s="197">
        <f t="shared" si="104"/>
        <v>9.06</v>
      </c>
      <c r="CH59" s="202">
        <v>6.45</v>
      </c>
      <c r="CI59" s="627">
        <f t="shared" si="105"/>
        <v>8.1600000000000037</v>
      </c>
      <c r="CJ59" s="202">
        <v>6.26</v>
      </c>
      <c r="CK59" s="202">
        <f t="shared" si="106"/>
        <v>8.1599999999999948</v>
      </c>
      <c r="CL59" s="202">
        <v>6.07</v>
      </c>
      <c r="CM59" s="202">
        <f t="shared" si="107"/>
        <v>8.0500000000000078</v>
      </c>
      <c r="CN59" s="203">
        <v>5.89</v>
      </c>
    </row>
    <row r="60" spans="2:92" ht="20.149999999999999" customHeight="1" x14ac:dyDescent="0.25">
      <c r="B60" s="24"/>
      <c r="C60" s="125"/>
      <c r="D60" s="126"/>
      <c r="E60" s="24"/>
      <c r="G60" s="188" t="s">
        <v>258</v>
      </c>
      <c r="H60" s="190">
        <f>O69</f>
        <v>7.03</v>
      </c>
      <c r="M60" s="731" t="s">
        <v>497</v>
      </c>
      <c r="N60" s="201">
        <f t="shared" si="111"/>
        <v>5.3400000000000007</v>
      </c>
      <c r="O60" s="202">
        <f t="shared" si="76"/>
        <v>5.9800000000000013</v>
      </c>
      <c r="P60" s="202">
        <f t="shared" si="112"/>
        <v>5.0200000000000005</v>
      </c>
      <c r="Q60" s="202">
        <f t="shared" si="78"/>
        <v>5.9800000000000013</v>
      </c>
      <c r="R60" s="202">
        <v>4.7</v>
      </c>
      <c r="S60" s="202">
        <f t="shared" si="79"/>
        <v>5.9800000000000013</v>
      </c>
      <c r="T60" s="202">
        <v>4.38</v>
      </c>
      <c r="U60" s="202">
        <f t="shared" si="80"/>
        <v>5.63</v>
      </c>
      <c r="V60" s="202">
        <v>4.13</v>
      </c>
      <c r="W60" s="202">
        <f t="shared" si="81"/>
        <v>5.3299999999999983</v>
      </c>
      <c r="X60" s="202">
        <v>3.93</v>
      </c>
      <c r="Y60" s="202">
        <f t="shared" si="82"/>
        <v>5.1200000000000028</v>
      </c>
      <c r="Z60" s="202">
        <v>3.76</v>
      </c>
      <c r="AA60" s="202">
        <f t="shared" si="83"/>
        <v>4.8799999999999972</v>
      </c>
      <c r="AB60" s="202">
        <v>3.62</v>
      </c>
      <c r="AC60" s="202">
        <f t="shared" si="84"/>
        <v>4.7000000000000011</v>
      </c>
      <c r="AD60" s="202">
        <v>3.5</v>
      </c>
      <c r="AE60" s="202">
        <f t="shared" si="85"/>
        <v>4.5999999999999988</v>
      </c>
      <c r="AF60" s="202">
        <v>3.39</v>
      </c>
      <c r="AG60" s="202">
        <f t="shared" si="86"/>
        <v>4.4900000000000011</v>
      </c>
      <c r="AH60" s="203">
        <v>3.29</v>
      </c>
      <c r="AI60" s="23"/>
      <c r="AJ60" s="185" t="s">
        <v>224</v>
      </c>
      <c r="AK60" s="522">
        <f>H54</f>
        <v>1</v>
      </c>
      <c r="AL60" s="107"/>
      <c r="AM60" s="107"/>
      <c r="AN60" s="107"/>
      <c r="AO60" s="107"/>
      <c r="AP60" s="731" t="s">
        <v>497</v>
      </c>
      <c r="AQ60" s="201">
        <f t="shared" si="113"/>
        <v>6.7100000000000009</v>
      </c>
      <c r="AR60" s="202">
        <f t="shared" si="87"/>
        <v>7.8500000000000014</v>
      </c>
      <c r="AS60" s="202">
        <f t="shared" si="114"/>
        <v>6.1400000000000006</v>
      </c>
      <c r="AT60" s="202">
        <f t="shared" si="88"/>
        <v>7.8500000000000014</v>
      </c>
      <c r="AU60" s="202">
        <v>5.57</v>
      </c>
      <c r="AV60" s="202">
        <f t="shared" si="89"/>
        <v>7.8500000000000014</v>
      </c>
      <c r="AW60" s="202">
        <v>5</v>
      </c>
      <c r="AX60" s="202">
        <f t="shared" si="90"/>
        <v>7.1</v>
      </c>
      <c r="AY60" s="202">
        <v>4.58</v>
      </c>
      <c r="AZ60" s="202">
        <f t="shared" si="91"/>
        <v>6.6199999999999992</v>
      </c>
      <c r="BA60" s="202">
        <v>4.24</v>
      </c>
      <c r="BB60" s="202">
        <f t="shared" si="92"/>
        <v>6.0600000000000023</v>
      </c>
      <c r="BC60" s="202">
        <v>3.98</v>
      </c>
      <c r="BD60" s="202">
        <f t="shared" si="93"/>
        <v>5.82</v>
      </c>
      <c r="BE60" s="202">
        <v>3.75</v>
      </c>
      <c r="BF60" s="202">
        <f t="shared" si="94"/>
        <v>5.4599999999999991</v>
      </c>
      <c r="BG60" s="202">
        <v>3.56</v>
      </c>
      <c r="BH60" s="202">
        <f t="shared" si="95"/>
        <v>5.1600000000000019</v>
      </c>
      <c r="BI60" s="202">
        <v>3.4</v>
      </c>
      <c r="BJ60" s="202">
        <f t="shared" si="96"/>
        <v>4.9400000000000013</v>
      </c>
      <c r="BK60" s="203">
        <v>3.26</v>
      </c>
      <c r="BM60" s="185" t="s">
        <v>231</v>
      </c>
      <c r="BN60" s="522">
        <f>H54</f>
        <v>1</v>
      </c>
      <c r="BO60" s="107"/>
      <c r="BP60" s="107"/>
      <c r="BQ60" s="107"/>
      <c r="BR60" s="107"/>
      <c r="BS60" s="661" t="s">
        <v>497</v>
      </c>
      <c r="BT60" s="630">
        <f t="shared" si="115"/>
        <v>7.620000000000001</v>
      </c>
      <c r="BU60" s="201">
        <f t="shared" si="98"/>
        <v>8.9200000000000017</v>
      </c>
      <c r="BV60" s="201">
        <f t="shared" si="116"/>
        <v>6.9700000000000006</v>
      </c>
      <c r="BW60" s="201">
        <f t="shared" si="99"/>
        <v>8.9200000000000017</v>
      </c>
      <c r="BX60" s="201">
        <v>6.32</v>
      </c>
      <c r="BY60" s="197">
        <f t="shared" si="100"/>
        <v>8.9200000000000017</v>
      </c>
      <c r="BZ60" s="202">
        <v>5.67</v>
      </c>
      <c r="CA60" s="197">
        <f t="shared" si="101"/>
        <v>8.0699999999999967</v>
      </c>
      <c r="CB60" s="202">
        <v>5.19</v>
      </c>
      <c r="CC60" s="197">
        <f t="shared" si="102"/>
        <v>7.410000000000001</v>
      </c>
      <c r="CD60" s="202">
        <v>4.82</v>
      </c>
      <c r="CE60" s="197">
        <f t="shared" si="103"/>
        <v>6.9900000000000038</v>
      </c>
      <c r="CF60" s="202">
        <v>4.51</v>
      </c>
      <c r="CG60" s="197">
        <f t="shared" si="104"/>
        <v>6.51</v>
      </c>
      <c r="CH60" s="202">
        <v>4.26</v>
      </c>
      <c r="CI60" s="627">
        <f t="shared" si="105"/>
        <v>6.2399999999999975</v>
      </c>
      <c r="CJ60" s="202">
        <v>4.04</v>
      </c>
      <c r="CK60" s="202">
        <f t="shared" si="106"/>
        <v>5.8400000000000016</v>
      </c>
      <c r="CL60" s="202">
        <v>3.86</v>
      </c>
      <c r="CM60" s="202">
        <f t="shared" si="107"/>
        <v>5.7299999999999986</v>
      </c>
      <c r="CN60" s="203">
        <v>3.69</v>
      </c>
    </row>
    <row r="61" spans="2:92" ht="20.149999999999999" customHeight="1" x14ac:dyDescent="0.25">
      <c r="B61" s="127"/>
      <c r="C61" s="24"/>
      <c r="D61" s="128"/>
      <c r="E61" s="24"/>
      <c r="G61" s="188" t="s">
        <v>253</v>
      </c>
      <c r="H61" s="190">
        <f>H60*H51*H52*H53*H54*H55*H56</f>
        <v>6.4202178000000005</v>
      </c>
      <c r="M61" s="732" t="s">
        <v>498</v>
      </c>
      <c r="N61" s="201">
        <f t="shared" si="111"/>
        <v>6.37</v>
      </c>
      <c r="O61" s="202">
        <f t="shared" si="76"/>
        <v>7.11</v>
      </c>
      <c r="P61" s="202">
        <f t="shared" si="112"/>
        <v>6</v>
      </c>
      <c r="Q61" s="202">
        <f t="shared" si="78"/>
        <v>7.11</v>
      </c>
      <c r="R61" s="202">
        <v>5.63</v>
      </c>
      <c r="S61" s="202">
        <f t="shared" si="79"/>
        <v>7.11</v>
      </c>
      <c r="T61" s="202">
        <v>5.26</v>
      </c>
      <c r="U61" s="202">
        <f t="shared" si="80"/>
        <v>6.7599999999999989</v>
      </c>
      <c r="V61" s="202">
        <v>4.96</v>
      </c>
      <c r="W61" s="202">
        <f t="shared" si="81"/>
        <v>6.3399999999999972</v>
      </c>
      <c r="X61" s="202">
        <v>4.7300000000000004</v>
      </c>
      <c r="Y61" s="202">
        <f t="shared" si="82"/>
        <v>6.1300000000000017</v>
      </c>
      <c r="Z61" s="202">
        <v>4.53</v>
      </c>
      <c r="AA61" s="202">
        <f t="shared" si="83"/>
        <v>5.89</v>
      </c>
      <c r="AB61" s="202">
        <v>4.3600000000000003</v>
      </c>
      <c r="AC61" s="202">
        <f t="shared" si="84"/>
        <v>5.6200000000000054</v>
      </c>
      <c r="AD61" s="202">
        <v>4.22</v>
      </c>
      <c r="AE61" s="202">
        <f t="shared" si="85"/>
        <v>5.5199999999999987</v>
      </c>
      <c r="AF61" s="202">
        <v>4.09</v>
      </c>
      <c r="AG61" s="202">
        <f t="shared" si="86"/>
        <v>5.2999999999999989</v>
      </c>
      <c r="AH61" s="203">
        <v>3.98</v>
      </c>
      <c r="AI61" s="23"/>
      <c r="AJ61" s="187" t="s">
        <v>225</v>
      </c>
      <c r="AK61" s="524">
        <f>IF(AND($D$12&lt;0.8,OR($D$11=$M$2,$D$11=$M$6,$D$11=$M$8,$D$11=$M$13)),0.99,IF(AND($D$12&gt;=0.8,OR($D$11=$M$3,$D$11=$M$7,$D$11=$M$9,$D$11=$M$14,$D$11=$M$15)),0.96,IF(AND($D$12&lt;0.8,OR($D$11=$M$3,$D$11=$M$7,$D$11=$M$9,$D$11=$M$14,$D$11=$M$15)),0.93,1)))</f>
        <v>1</v>
      </c>
      <c r="AL61" s="109"/>
      <c r="AM61" s="109"/>
      <c r="AN61" s="109"/>
      <c r="AO61" s="109"/>
      <c r="AP61" s="732" t="s">
        <v>498</v>
      </c>
      <c r="AQ61" s="201">
        <f t="shared" si="113"/>
        <v>8.27</v>
      </c>
      <c r="AR61" s="202">
        <f t="shared" si="87"/>
        <v>9.65</v>
      </c>
      <c r="AS61" s="202">
        <f t="shared" si="114"/>
        <v>7.5799999999999992</v>
      </c>
      <c r="AT61" s="202">
        <f t="shared" si="88"/>
        <v>9.6499999999999986</v>
      </c>
      <c r="AU61" s="202">
        <v>6.89</v>
      </c>
      <c r="AV61" s="202">
        <f t="shared" si="89"/>
        <v>9.6499999999999986</v>
      </c>
      <c r="AW61" s="202">
        <v>6.2</v>
      </c>
      <c r="AX61" s="202">
        <f t="shared" si="90"/>
        <v>8.75</v>
      </c>
      <c r="AY61" s="202">
        <v>5.69</v>
      </c>
      <c r="AZ61" s="202">
        <f t="shared" si="91"/>
        <v>8.0900000000000034</v>
      </c>
      <c r="BA61" s="202">
        <v>5.29</v>
      </c>
      <c r="BB61" s="202">
        <f t="shared" si="92"/>
        <v>7.6000000000000005</v>
      </c>
      <c r="BC61" s="202">
        <v>4.96</v>
      </c>
      <c r="BD61" s="202">
        <f t="shared" si="93"/>
        <v>7.1199999999999966</v>
      </c>
      <c r="BE61" s="202">
        <v>4.6900000000000004</v>
      </c>
      <c r="BF61" s="202">
        <f t="shared" si="94"/>
        <v>6.7600000000000042</v>
      </c>
      <c r="BG61" s="202">
        <v>4.46</v>
      </c>
      <c r="BH61" s="202">
        <f t="shared" si="95"/>
        <v>6.56</v>
      </c>
      <c r="BI61" s="202">
        <v>4.25</v>
      </c>
      <c r="BJ61" s="202">
        <f t="shared" si="96"/>
        <v>6.1199999999999992</v>
      </c>
      <c r="BK61" s="203">
        <v>4.08</v>
      </c>
      <c r="BM61" s="187" t="s">
        <v>232</v>
      </c>
      <c r="BN61" s="524">
        <f>IF(AND($D$12&lt;0.8,OR($D$26=$M$57,$D$26=$M$60)),0.99,IF(AND($D$12&gt;=0.8,OR($D$26=$M$58,$D$26=$M$62,$D$26=$M$61,$D$26=$M$64,$D$26=$M$63)),0.96,IF(AND($D$12&lt;0.8,OR($D$26=$M$58,$D$26=$M$62,$D$26=$M$61,$D$26=$M$63,$D$26=$M$64)),0.93,1)))</f>
        <v>1</v>
      </c>
      <c r="BO61" s="109"/>
      <c r="BP61" s="109"/>
      <c r="BQ61" s="109"/>
      <c r="BR61" s="109"/>
      <c r="BS61" s="662" t="s">
        <v>498</v>
      </c>
      <c r="BT61" s="630">
        <f t="shared" si="115"/>
        <v>9.36</v>
      </c>
      <c r="BU61" s="201">
        <f t="shared" si="98"/>
        <v>10.899999999999999</v>
      </c>
      <c r="BV61" s="201">
        <f t="shared" si="116"/>
        <v>8.59</v>
      </c>
      <c r="BW61" s="201">
        <f t="shared" si="99"/>
        <v>10.899999999999999</v>
      </c>
      <c r="BX61" s="201">
        <v>7.82</v>
      </c>
      <c r="BY61" s="197">
        <f t="shared" si="100"/>
        <v>10.900000000000002</v>
      </c>
      <c r="BZ61" s="202">
        <v>7.05</v>
      </c>
      <c r="CA61" s="197">
        <f t="shared" si="101"/>
        <v>10</v>
      </c>
      <c r="CB61" s="202">
        <v>6.46</v>
      </c>
      <c r="CC61" s="197">
        <f t="shared" si="102"/>
        <v>9.16</v>
      </c>
      <c r="CD61" s="202">
        <v>6.01</v>
      </c>
      <c r="CE61" s="197">
        <f t="shared" si="103"/>
        <v>8.6699999999999982</v>
      </c>
      <c r="CF61" s="202">
        <v>5.63</v>
      </c>
      <c r="CG61" s="197">
        <f t="shared" si="104"/>
        <v>8.1099999999999959</v>
      </c>
      <c r="CH61" s="202">
        <v>5.32</v>
      </c>
      <c r="CI61" s="627">
        <f t="shared" si="105"/>
        <v>7.6600000000000064</v>
      </c>
      <c r="CJ61" s="202">
        <v>5.0599999999999996</v>
      </c>
      <c r="CK61" s="202">
        <f t="shared" si="106"/>
        <v>7.359999999999995</v>
      </c>
      <c r="CL61" s="202">
        <v>4.83</v>
      </c>
      <c r="CM61" s="202">
        <f t="shared" si="107"/>
        <v>7.030000000000002</v>
      </c>
      <c r="CN61" s="203">
        <v>4.63</v>
      </c>
    </row>
    <row r="62" spans="2:92" ht="20.149999999999999" customHeight="1" x14ac:dyDescent="0.25">
      <c r="M62" s="732" t="s">
        <v>499</v>
      </c>
      <c r="N62" s="201">
        <f t="shared" si="111"/>
        <v>6.7099999999999991</v>
      </c>
      <c r="O62" s="202">
        <f t="shared" si="76"/>
        <v>7.4899999999999984</v>
      </c>
      <c r="P62" s="202">
        <f t="shared" si="112"/>
        <v>6.3199999999999994</v>
      </c>
      <c r="Q62" s="202">
        <f t="shared" si="78"/>
        <v>7.4899999999999984</v>
      </c>
      <c r="R62" s="202">
        <v>5.93</v>
      </c>
      <c r="S62" s="202">
        <f t="shared" si="79"/>
        <v>7.4899999999999984</v>
      </c>
      <c r="T62" s="202">
        <v>5.54</v>
      </c>
      <c r="U62" s="202">
        <f t="shared" si="80"/>
        <v>7.0399999999999991</v>
      </c>
      <c r="V62" s="202">
        <v>5.24</v>
      </c>
      <c r="W62" s="202">
        <f t="shared" si="81"/>
        <v>6.6800000000000015</v>
      </c>
      <c r="X62" s="202">
        <v>5</v>
      </c>
      <c r="Y62" s="202">
        <f t="shared" si="82"/>
        <v>6.47</v>
      </c>
      <c r="Z62" s="202">
        <v>4.79</v>
      </c>
      <c r="AA62" s="202">
        <f t="shared" si="83"/>
        <v>6.1499999999999995</v>
      </c>
      <c r="AB62" s="202">
        <v>4.62</v>
      </c>
      <c r="AC62" s="202">
        <f t="shared" si="84"/>
        <v>5.9700000000000033</v>
      </c>
      <c r="AD62" s="202">
        <v>4.47</v>
      </c>
      <c r="AE62" s="202">
        <f t="shared" si="85"/>
        <v>5.8699999999999966</v>
      </c>
      <c r="AF62" s="202">
        <v>4.33</v>
      </c>
      <c r="AG62" s="202">
        <f t="shared" si="86"/>
        <v>5.6500000000000012</v>
      </c>
      <c r="AH62" s="203">
        <v>4.21</v>
      </c>
      <c r="AI62" s="23"/>
      <c r="AJ62" s="187" t="s">
        <v>226</v>
      </c>
      <c r="AK62" s="522">
        <f>VLOOKUP($D$27,Daten!$A$44:$B$47,2)</f>
        <v>0.93</v>
      </c>
      <c r="AL62" s="110"/>
      <c r="AM62" s="110"/>
      <c r="AN62" s="110"/>
      <c r="AO62" s="110"/>
      <c r="AP62" s="732" t="s">
        <v>499</v>
      </c>
      <c r="AQ62" s="201">
        <f t="shared" si="113"/>
        <v>8.8999999999999986</v>
      </c>
      <c r="AR62" s="202">
        <f t="shared" si="87"/>
        <v>10.339999999999996</v>
      </c>
      <c r="AS62" s="202">
        <f t="shared" si="114"/>
        <v>8.18</v>
      </c>
      <c r="AT62" s="202">
        <f t="shared" si="88"/>
        <v>10.34</v>
      </c>
      <c r="AU62" s="202">
        <v>7.46</v>
      </c>
      <c r="AV62" s="202">
        <f t="shared" si="89"/>
        <v>10.34</v>
      </c>
      <c r="AW62" s="202">
        <v>6.74</v>
      </c>
      <c r="AX62" s="202">
        <f t="shared" si="90"/>
        <v>9.4899999999999984</v>
      </c>
      <c r="AY62" s="202">
        <v>6.19</v>
      </c>
      <c r="AZ62" s="202">
        <f t="shared" si="91"/>
        <v>8.7700000000000031</v>
      </c>
      <c r="BA62" s="202">
        <v>5.76</v>
      </c>
      <c r="BB62" s="202">
        <f t="shared" si="92"/>
        <v>8.2099999999999973</v>
      </c>
      <c r="BC62" s="202">
        <v>5.41</v>
      </c>
      <c r="BD62" s="202">
        <f t="shared" si="93"/>
        <v>7.8099999999999987</v>
      </c>
      <c r="BE62" s="202">
        <v>5.1100000000000003</v>
      </c>
      <c r="BF62" s="202">
        <f t="shared" si="94"/>
        <v>7.36</v>
      </c>
      <c r="BG62" s="202">
        <v>4.8600000000000003</v>
      </c>
      <c r="BH62" s="202">
        <f t="shared" si="95"/>
        <v>7.0600000000000067</v>
      </c>
      <c r="BI62" s="202">
        <v>4.6399999999999997</v>
      </c>
      <c r="BJ62" s="202">
        <f t="shared" si="96"/>
        <v>6.7299999999999942</v>
      </c>
      <c r="BK62" s="203">
        <v>4.45</v>
      </c>
      <c r="BM62" s="187" t="s">
        <v>233</v>
      </c>
      <c r="BN62" s="522">
        <f>VLOOKUP($D$27,Daten!$A$44:$B$47,2)</f>
        <v>0.93</v>
      </c>
      <c r="BO62" s="110"/>
      <c r="BP62" s="110"/>
      <c r="BQ62" s="110"/>
      <c r="BR62" s="110"/>
      <c r="BS62" s="662" t="s">
        <v>499</v>
      </c>
      <c r="BT62" s="630">
        <f t="shared" si="115"/>
        <v>10.14</v>
      </c>
      <c r="BU62" s="201">
        <f t="shared" si="98"/>
        <v>11.8</v>
      </c>
      <c r="BV62" s="201">
        <f t="shared" si="116"/>
        <v>9.31</v>
      </c>
      <c r="BW62" s="201">
        <f t="shared" si="99"/>
        <v>11.8</v>
      </c>
      <c r="BX62" s="201">
        <v>8.48</v>
      </c>
      <c r="BY62" s="197">
        <f t="shared" si="100"/>
        <v>11.8</v>
      </c>
      <c r="BZ62" s="202">
        <v>7.65</v>
      </c>
      <c r="CA62" s="197">
        <f t="shared" si="101"/>
        <v>10.75</v>
      </c>
      <c r="CB62" s="202">
        <v>7.03</v>
      </c>
      <c r="CC62" s="197">
        <f t="shared" si="102"/>
        <v>9.9700000000000024</v>
      </c>
      <c r="CD62" s="202">
        <v>6.54</v>
      </c>
      <c r="CE62" s="197">
        <f t="shared" si="103"/>
        <v>9.3400000000000034</v>
      </c>
      <c r="CF62" s="202">
        <v>6.14</v>
      </c>
      <c r="CG62" s="197">
        <f t="shared" si="104"/>
        <v>8.86</v>
      </c>
      <c r="CH62" s="202">
        <v>5.8</v>
      </c>
      <c r="CI62" s="627">
        <f t="shared" si="105"/>
        <v>8.3200000000000021</v>
      </c>
      <c r="CJ62" s="202">
        <v>5.52</v>
      </c>
      <c r="CK62" s="202">
        <f t="shared" si="106"/>
        <v>8.02</v>
      </c>
      <c r="CL62" s="202">
        <v>5.27</v>
      </c>
      <c r="CM62" s="202">
        <f t="shared" si="107"/>
        <v>7.5799999999999992</v>
      </c>
      <c r="CN62" s="203">
        <v>5.0599999999999996</v>
      </c>
    </row>
    <row r="63" spans="2:92" ht="20.149999999999999" customHeight="1" x14ac:dyDescent="0.25">
      <c r="M63" s="732" t="s">
        <v>500</v>
      </c>
      <c r="N63" s="201">
        <f t="shared" si="111"/>
        <v>7.0899999999999981</v>
      </c>
      <c r="O63" s="202">
        <f t="shared" si="76"/>
        <v>7.9099999999999966</v>
      </c>
      <c r="P63" s="202">
        <f t="shared" si="112"/>
        <v>6.6799999999999988</v>
      </c>
      <c r="Q63" s="202">
        <f t="shared" si="78"/>
        <v>7.9099999999999966</v>
      </c>
      <c r="R63" s="202">
        <v>6.27</v>
      </c>
      <c r="S63" s="202">
        <f t="shared" si="79"/>
        <v>7.9099999999999966</v>
      </c>
      <c r="T63" s="202">
        <v>5.86</v>
      </c>
      <c r="U63" s="202">
        <f t="shared" si="80"/>
        <v>7.4600000000000017</v>
      </c>
      <c r="V63" s="202">
        <v>5.54</v>
      </c>
      <c r="W63" s="202">
        <f t="shared" si="81"/>
        <v>7.0999999999999988</v>
      </c>
      <c r="X63" s="202">
        <v>5.28</v>
      </c>
      <c r="Y63" s="202">
        <f t="shared" si="82"/>
        <v>6.75</v>
      </c>
      <c r="Z63" s="202">
        <v>5.07</v>
      </c>
      <c r="AA63" s="202">
        <f t="shared" si="83"/>
        <v>6.5900000000000034</v>
      </c>
      <c r="AB63" s="202">
        <v>4.88</v>
      </c>
      <c r="AC63" s="202">
        <f t="shared" si="84"/>
        <v>6.3200000000000012</v>
      </c>
      <c r="AD63" s="202">
        <v>4.72</v>
      </c>
      <c r="AE63" s="202">
        <f t="shared" si="85"/>
        <v>6.1199999999999966</v>
      </c>
      <c r="AF63" s="202">
        <v>4.58</v>
      </c>
      <c r="AG63" s="202">
        <f t="shared" si="86"/>
        <v>6.0099999999999989</v>
      </c>
      <c r="AH63" s="203">
        <v>4.45</v>
      </c>
      <c r="AI63" s="24"/>
      <c r="AJ63" s="8"/>
      <c r="AL63" s="118"/>
      <c r="AM63" s="24"/>
      <c r="AN63" s="24"/>
      <c r="AO63" s="24"/>
      <c r="AP63" s="732" t="s">
        <v>500</v>
      </c>
      <c r="AQ63" s="201">
        <f t="shared" si="113"/>
        <v>9.6999999999999975</v>
      </c>
      <c r="AR63" s="202">
        <f t="shared" si="87"/>
        <v>11.279999999999996</v>
      </c>
      <c r="AS63" s="202">
        <f t="shared" si="114"/>
        <v>8.9099999999999984</v>
      </c>
      <c r="AT63" s="202">
        <f t="shared" si="88"/>
        <v>11.279999999999996</v>
      </c>
      <c r="AU63" s="202">
        <v>8.1199999999999992</v>
      </c>
      <c r="AV63" s="202">
        <f t="shared" si="89"/>
        <v>11.279999999999996</v>
      </c>
      <c r="AW63" s="202">
        <v>7.33</v>
      </c>
      <c r="AX63" s="202">
        <f t="shared" si="90"/>
        <v>10.329999999999998</v>
      </c>
      <c r="AY63" s="202">
        <v>6.73</v>
      </c>
      <c r="AZ63" s="202">
        <f t="shared" si="91"/>
        <v>9.5500000000000043</v>
      </c>
      <c r="BA63" s="202">
        <v>6.26</v>
      </c>
      <c r="BB63" s="202">
        <f t="shared" si="92"/>
        <v>8.9199999999999982</v>
      </c>
      <c r="BC63" s="202">
        <v>5.88</v>
      </c>
      <c r="BD63" s="202">
        <f t="shared" si="93"/>
        <v>8.4400000000000013</v>
      </c>
      <c r="BE63" s="202">
        <v>5.56</v>
      </c>
      <c r="BF63" s="202">
        <f t="shared" si="94"/>
        <v>8.0799999999999947</v>
      </c>
      <c r="BG63" s="202">
        <v>5.28</v>
      </c>
      <c r="BH63" s="202">
        <f t="shared" si="95"/>
        <v>7.5800000000000045</v>
      </c>
      <c r="BI63" s="202">
        <v>5.05</v>
      </c>
      <c r="BJ63" s="202">
        <f t="shared" si="96"/>
        <v>7.3599999999999994</v>
      </c>
      <c r="BK63" s="203">
        <v>4.84</v>
      </c>
      <c r="BM63" s="8"/>
      <c r="BO63" s="118"/>
      <c r="BP63" s="24"/>
      <c r="BQ63" s="24"/>
      <c r="BR63" s="24"/>
      <c r="BS63" s="662" t="s">
        <v>500</v>
      </c>
      <c r="BT63" s="630">
        <f t="shared" si="115"/>
        <v>11.000000000000002</v>
      </c>
      <c r="BU63" s="201">
        <f t="shared" si="98"/>
        <v>12.780000000000003</v>
      </c>
      <c r="BV63" s="201">
        <f t="shared" si="116"/>
        <v>10.110000000000001</v>
      </c>
      <c r="BW63" s="201">
        <f t="shared" si="99"/>
        <v>12.780000000000003</v>
      </c>
      <c r="BX63" s="197">
        <v>9.2200000000000006</v>
      </c>
      <c r="BY63" s="197">
        <f t="shared" si="100"/>
        <v>12.780000000000003</v>
      </c>
      <c r="BZ63" s="197">
        <v>8.33</v>
      </c>
      <c r="CA63" s="197">
        <f t="shared" si="101"/>
        <v>11.729999999999999</v>
      </c>
      <c r="CB63" s="197">
        <v>7.65</v>
      </c>
      <c r="CC63" s="197">
        <f t="shared" si="102"/>
        <v>10.89</v>
      </c>
      <c r="CD63" s="197">
        <v>7.11</v>
      </c>
      <c r="CE63" s="197">
        <f t="shared" si="103"/>
        <v>10.190000000000003</v>
      </c>
      <c r="CF63" s="197">
        <v>6.67</v>
      </c>
      <c r="CG63" s="197">
        <f t="shared" si="104"/>
        <v>9.5500000000000025</v>
      </c>
      <c r="CH63" s="197">
        <v>6.31</v>
      </c>
      <c r="CI63" s="627">
        <f t="shared" si="105"/>
        <v>9.0999999999999961</v>
      </c>
      <c r="CJ63" s="202">
        <v>6</v>
      </c>
      <c r="CK63" s="202">
        <f t="shared" si="106"/>
        <v>8.6999999999999957</v>
      </c>
      <c r="CL63" s="202">
        <v>5.73</v>
      </c>
      <c r="CM63" s="202">
        <f t="shared" si="107"/>
        <v>8.3700000000000028</v>
      </c>
      <c r="CN63" s="203">
        <v>5.49</v>
      </c>
    </row>
    <row r="64" spans="2:92" ht="20.149999999999999" customHeight="1" thickBot="1" x14ac:dyDescent="0.3">
      <c r="M64" s="733" t="s">
        <v>501</v>
      </c>
      <c r="N64" s="201">
        <f t="shared" si="111"/>
        <v>7.49</v>
      </c>
      <c r="O64" s="202">
        <f t="shared" si="76"/>
        <v>8.31</v>
      </c>
      <c r="P64" s="202">
        <f t="shared" si="112"/>
        <v>7.08</v>
      </c>
      <c r="Q64" s="202">
        <f t="shared" si="78"/>
        <v>8.31</v>
      </c>
      <c r="R64" s="202">
        <v>6.67</v>
      </c>
      <c r="S64" s="202">
        <f t="shared" si="79"/>
        <v>8.31</v>
      </c>
      <c r="T64" s="202">
        <v>6.26</v>
      </c>
      <c r="U64" s="202">
        <f t="shared" si="80"/>
        <v>7.8599999999999968</v>
      </c>
      <c r="V64" s="202">
        <v>5.94</v>
      </c>
      <c r="W64" s="202">
        <f t="shared" si="81"/>
        <v>7.5000000000000044</v>
      </c>
      <c r="X64" s="202">
        <v>5.68</v>
      </c>
      <c r="Y64" s="202">
        <f t="shared" si="82"/>
        <v>7.219999999999998</v>
      </c>
      <c r="Z64" s="202">
        <v>5.46</v>
      </c>
      <c r="AA64" s="202">
        <f t="shared" si="83"/>
        <v>7.0600000000000014</v>
      </c>
      <c r="AB64" s="202">
        <v>5.26</v>
      </c>
      <c r="AC64" s="202">
        <f t="shared" si="84"/>
        <v>6.7000000000000011</v>
      </c>
      <c r="AD64" s="202">
        <v>5.0999999999999996</v>
      </c>
      <c r="AE64" s="202">
        <f t="shared" si="85"/>
        <v>6.5999999999999943</v>
      </c>
      <c r="AF64" s="202">
        <v>4.95</v>
      </c>
      <c r="AG64" s="202">
        <f t="shared" si="86"/>
        <v>6.379999999999999</v>
      </c>
      <c r="AH64" s="203">
        <v>4.82</v>
      </c>
      <c r="AJ64" s="8"/>
      <c r="AL64" s="10"/>
      <c r="AM64" s="10"/>
      <c r="AN64" s="10"/>
      <c r="AO64" s="10"/>
      <c r="AP64" s="733" t="s">
        <v>501</v>
      </c>
      <c r="AQ64" s="201">
        <f t="shared" si="113"/>
        <v>10.870000000000001</v>
      </c>
      <c r="AR64" s="202">
        <f t="shared" si="87"/>
        <v>12.530000000000001</v>
      </c>
      <c r="AS64" s="202">
        <f t="shared" si="114"/>
        <v>10.040000000000001</v>
      </c>
      <c r="AT64" s="202">
        <f t="shared" si="88"/>
        <v>12.530000000000001</v>
      </c>
      <c r="AU64" s="202">
        <v>9.2100000000000009</v>
      </c>
      <c r="AV64" s="202">
        <f t="shared" si="89"/>
        <v>12.530000000000001</v>
      </c>
      <c r="AW64" s="202">
        <v>8.3800000000000008</v>
      </c>
      <c r="AX64" s="202">
        <f t="shared" si="90"/>
        <v>11.630000000000003</v>
      </c>
      <c r="AY64" s="202">
        <v>7.73</v>
      </c>
      <c r="AZ64" s="202">
        <f t="shared" si="91"/>
        <v>10.790000000000004</v>
      </c>
      <c r="BA64" s="202">
        <v>7.22</v>
      </c>
      <c r="BB64" s="202">
        <f t="shared" si="92"/>
        <v>10.16</v>
      </c>
      <c r="BC64" s="202">
        <v>6.8</v>
      </c>
      <c r="BD64" s="202">
        <f t="shared" si="93"/>
        <v>9.6799999999999962</v>
      </c>
      <c r="BE64" s="202">
        <v>6.44</v>
      </c>
      <c r="BF64" s="202">
        <f t="shared" si="94"/>
        <v>9.230000000000004</v>
      </c>
      <c r="BG64" s="202">
        <v>6.13</v>
      </c>
      <c r="BH64" s="202">
        <f t="shared" si="95"/>
        <v>8.7299999999999969</v>
      </c>
      <c r="BI64" s="202">
        <v>5.87</v>
      </c>
      <c r="BJ64" s="202">
        <f t="shared" si="96"/>
        <v>8.5100000000000016</v>
      </c>
      <c r="BK64" s="203">
        <v>5.63</v>
      </c>
      <c r="BM64" s="8"/>
      <c r="BO64" s="10"/>
      <c r="BP64" s="10"/>
      <c r="BQ64" s="10"/>
      <c r="BR64" s="10"/>
      <c r="BS64" s="204" t="s">
        <v>501</v>
      </c>
      <c r="BT64" s="631">
        <f t="shared" si="115"/>
        <v>12.380000000000003</v>
      </c>
      <c r="BU64" s="205">
        <f t="shared" si="98"/>
        <v>14.280000000000005</v>
      </c>
      <c r="BV64" s="205">
        <f t="shared" si="116"/>
        <v>11.430000000000001</v>
      </c>
      <c r="BW64" s="205">
        <f t="shared" si="99"/>
        <v>14.280000000000005</v>
      </c>
      <c r="BX64" s="205">
        <v>10.48</v>
      </c>
      <c r="BY64" s="206">
        <f t="shared" si="100"/>
        <v>14.280000000000005</v>
      </c>
      <c r="BZ64" s="207">
        <v>9.5299999999999994</v>
      </c>
      <c r="CA64" s="206">
        <f t="shared" si="101"/>
        <v>13.23</v>
      </c>
      <c r="CB64" s="207">
        <v>8.7899999999999991</v>
      </c>
      <c r="CC64" s="206">
        <f t="shared" si="102"/>
        <v>12.269999999999989</v>
      </c>
      <c r="CD64" s="207">
        <v>8.2100000000000009</v>
      </c>
      <c r="CE64" s="206">
        <f t="shared" si="103"/>
        <v>11.640000000000008</v>
      </c>
      <c r="CF64" s="207">
        <v>7.72</v>
      </c>
      <c r="CG64" s="206">
        <f t="shared" si="104"/>
        <v>10.919999999999995</v>
      </c>
      <c r="CH64" s="207">
        <v>7.32</v>
      </c>
      <c r="CI64" s="628">
        <f t="shared" si="105"/>
        <v>10.470000000000006</v>
      </c>
      <c r="CJ64" s="207">
        <v>6.97</v>
      </c>
      <c r="CK64" s="207">
        <f t="shared" si="106"/>
        <v>10.069999999999997</v>
      </c>
      <c r="CL64" s="207">
        <v>6.66</v>
      </c>
      <c r="CM64" s="207">
        <f t="shared" si="107"/>
        <v>9.5199999999999978</v>
      </c>
      <c r="CN64" s="208">
        <v>6.4</v>
      </c>
    </row>
    <row r="65" spans="7:93" ht="20.149999999999999" customHeight="1" thickBot="1" x14ac:dyDescent="0.3">
      <c r="G65" s="774" t="s">
        <v>251</v>
      </c>
      <c r="H65" s="775"/>
      <c r="K65" s="618"/>
      <c r="M65" s="731" t="s">
        <v>562</v>
      </c>
      <c r="N65" s="201">
        <f>P65+(R65-T65)</f>
        <v>4.2</v>
      </c>
      <c r="O65" s="202">
        <f t="shared" ref="O65:O66" si="117">N65-(N65-P65)*(O$56-N$56)/(P$56-N$56)</f>
        <v>4.7</v>
      </c>
      <c r="P65" s="202">
        <f t="shared" ref="P65:P66" si="118">R65+(R65-T65)</f>
        <v>3.95</v>
      </c>
      <c r="Q65" s="202">
        <f t="shared" ref="Q65:Q66" si="119">P65-(P65-R65)*(Q$56-P$56)/(R$56-P$56)</f>
        <v>4.7</v>
      </c>
      <c r="R65" s="202">
        <v>3.7</v>
      </c>
      <c r="S65" s="202">
        <f t="shared" ref="S65:S66" si="120">R65-(R65-T65)*(S$56-R$56)/(T$56-R$56)</f>
        <v>4.7</v>
      </c>
      <c r="T65" s="202">
        <v>3.45</v>
      </c>
      <c r="U65" s="202">
        <f t="shared" ref="U65:U66" si="121">T65-(T65-V65)*(U$56-T$56)/(V$56-T$56)</f>
        <v>4.4500000000000011</v>
      </c>
      <c r="V65" s="202">
        <v>3.25</v>
      </c>
      <c r="W65" s="202">
        <f t="shared" ref="W65:W66" si="122">V65-(V65-X65)*(W$56-V$56)/(X$56-V$56)</f>
        <v>4.2100000000000009</v>
      </c>
      <c r="X65" s="202">
        <v>3.09</v>
      </c>
      <c r="Y65" s="202">
        <f t="shared" ref="Y65:Y66" si="123">X65-(X65-Z65)*(Y$56-X$56)/(Z$56-X$56)</f>
        <v>3.9999999999999991</v>
      </c>
      <c r="Z65" s="202">
        <v>2.96</v>
      </c>
      <c r="AA65" s="202">
        <f t="shared" ref="AA65:AA66" si="124">Z65-(Z65-AB65)*(AA$56-Z$56)/(AB$56-Z$56)</f>
        <v>3.9200000000000008</v>
      </c>
      <c r="AB65" s="202">
        <v>2.84</v>
      </c>
      <c r="AC65" s="202">
        <f t="shared" ref="AC65:AC66" si="125">AB65-(AB65-AD65)*(AC$56-AB$56)/(AD$56-AB$56)</f>
        <v>3.6499999999999986</v>
      </c>
      <c r="AD65" s="202">
        <v>2.75</v>
      </c>
      <c r="AE65" s="202">
        <f t="shared" ref="AE65:AE66" si="126">AD65-(AD65-AF65)*(AE$56-AD$56)/(AF$56-AD$56)</f>
        <v>3.6499999999999986</v>
      </c>
      <c r="AF65" s="202">
        <v>2.66</v>
      </c>
      <c r="AG65" s="202">
        <f t="shared" ref="AG65:AG66" si="127">AF65-(AF65-AH65)*(AG$56-AF$56)/(AH$56-AF$56)</f>
        <v>3.4300000000000033</v>
      </c>
      <c r="AH65" s="203">
        <v>2.59</v>
      </c>
      <c r="AJ65" s="188" t="s">
        <v>254</v>
      </c>
      <c r="AK65" s="190">
        <f>AR69</f>
        <v>7.03</v>
      </c>
      <c r="AP65" s="731" t="s">
        <v>562</v>
      </c>
      <c r="AQ65" s="201">
        <f t="shared" ref="AQ65:AQ66" si="128">AS65+(AU65-AW65)</f>
        <v>5.3600000000000012</v>
      </c>
      <c r="AR65" s="202">
        <f t="shared" ref="AR65:AR66" si="129">AQ65-(AQ65-AS65)*(AR$56-AQ$56)/(AS$56-AQ$56)</f>
        <v>6.2800000000000029</v>
      </c>
      <c r="AS65" s="202">
        <f t="shared" ref="AS65:AS66" si="130">AU65+(AU65-AW65)</f>
        <v>4.9000000000000004</v>
      </c>
      <c r="AT65" s="202">
        <f t="shared" ref="AT65:AT66" si="131">AS65-(AS65-AU65)*(AT$56-AS$56)/(AU$56-AS$56)</f>
        <v>6.28</v>
      </c>
      <c r="AU65" s="202">
        <v>4.4400000000000004</v>
      </c>
      <c r="AV65" s="202">
        <f t="shared" ref="AV65:AV66" si="132">AU65-(AU65-AW65)*(AV$56-AU$56)/(AW$56-AU$56)</f>
        <v>6.280000000000002</v>
      </c>
      <c r="AW65" s="202">
        <v>3.98</v>
      </c>
      <c r="AX65" s="202">
        <f t="shared" ref="AX65:AX66" si="133">AW65-(AW65-AY65)*(AX$56-AW$56)/(AY$56-AW$56)</f>
        <v>5.68</v>
      </c>
      <c r="AY65" s="202">
        <v>3.64</v>
      </c>
      <c r="AZ65" s="202">
        <f t="shared" ref="AZ65:AZ66" si="134">AY65-(AY65-BA65)*(AZ$56-AY$56)/(BA$56-AY$56)</f>
        <v>5.2000000000000011</v>
      </c>
      <c r="BA65" s="202">
        <v>3.38</v>
      </c>
      <c r="BB65" s="202">
        <f t="shared" ref="BB65:BB66" si="135">BA65-(BA65-BC65)*(BB$56-BA$56)/(BC$56-BA$56)</f>
        <v>4.9199999999999982</v>
      </c>
      <c r="BC65" s="202">
        <v>3.16</v>
      </c>
      <c r="BD65" s="202">
        <f t="shared" ref="BD65:BD66" si="136">BC65-(BC65-BE65)*(BD$56-BC$56)/(BE$56-BC$56)</f>
        <v>4.6000000000000014</v>
      </c>
      <c r="BE65" s="202">
        <v>2.98</v>
      </c>
      <c r="BF65" s="202">
        <f t="shared" ref="BF65:BF66" si="137">BE65-(BE65-BG65)*(BF$56-BE$56)/(BG$56-BE$56)</f>
        <v>4.3299999999999992</v>
      </c>
      <c r="BG65" s="202">
        <v>2.83</v>
      </c>
      <c r="BH65" s="202">
        <f t="shared" ref="BH65:BH66" si="138">BG65-(BG65-BI65)*(BH$56-BG$56)/(BI$56-BG$56)</f>
        <v>4.129999999999999</v>
      </c>
      <c r="BI65" s="202">
        <v>2.7</v>
      </c>
      <c r="BJ65" s="202">
        <f t="shared" ref="BJ65:BJ66" si="139">BI65-(BI65-BK65)*(BJ$56-BI$56)/(BK$56-BI$56)</f>
        <v>3.9100000000000037</v>
      </c>
      <c r="BK65" s="203">
        <v>2.59</v>
      </c>
      <c r="BM65" s="188" t="s">
        <v>255</v>
      </c>
      <c r="BN65" s="190">
        <f>BU69</f>
        <v>7.03</v>
      </c>
      <c r="BS65" s="731" t="s">
        <v>562</v>
      </c>
      <c r="BT65" s="631">
        <f t="shared" ref="BT65:BT66" si="140">BV65+(BX65-BZ65)</f>
        <v>6.080000000000001</v>
      </c>
      <c r="BU65" s="205">
        <f t="shared" ref="BU65:BU66" si="141">BT65-(BT65-BV65)*(BU$56-BT$56)/(BV$56-BT$56)</f>
        <v>7.1200000000000019</v>
      </c>
      <c r="BV65" s="205">
        <f t="shared" ref="BV65:BV66" si="142">BX65+(BX65-BZ65)</f>
        <v>5.5600000000000005</v>
      </c>
      <c r="BW65" s="205">
        <f t="shared" ref="BW65:BW66" si="143">BV65-(BV65-BX65)*(BW$56-BV$56)/(BX$56-BV$56)</f>
        <v>7.1200000000000019</v>
      </c>
      <c r="BX65" s="205">
        <v>5.04</v>
      </c>
      <c r="BY65" s="206">
        <f t="shared" ref="BY65:BY66" si="144">BX65-(BX65-BZ65)*(BY$56-BX$56)/(BZ$56-BX$56)</f>
        <v>7.1200000000000019</v>
      </c>
      <c r="BZ65" s="207">
        <v>4.5199999999999996</v>
      </c>
      <c r="CA65" s="206">
        <f t="shared" ref="CA65:CA66" si="145">BZ65-(BZ65-CB65)*(CA$56-BZ$56)/(CB$56-BZ$56)</f>
        <v>6.469999999999998</v>
      </c>
      <c r="CB65" s="207">
        <v>4.13</v>
      </c>
      <c r="CC65" s="206">
        <f t="shared" ref="CC65:CC66" si="146">CB65-(CB65-CD65)*(CC$56-CB$56)/(CD$56-CB$56)</f>
        <v>5.9299999999999988</v>
      </c>
      <c r="CD65" s="207">
        <v>3.83</v>
      </c>
      <c r="CE65" s="206">
        <f t="shared" ref="CE65:CE66" si="147">CD65-(CD65-CF65)*(CE$56-CD$56)/(CF$56-CD$56)</f>
        <v>5.5100000000000016</v>
      </c>
      <c r="CF65" s="207">
        <v>3.59</v>
      </c>
      <c r="CG65" s="206">
        <f t="shared" ref="CG65:CG66" si="148">CF65-(CF65-CH65)*(CG$56-CF$56)/(CH$56-CF$56)</f>
        <v>5.27</v>
      </c>
      <c r="CH65" s="207">
        <v>3.38</v>
      </c>
      <c r="CI65" s="628">
        <f t="shared" ref="CI65:CI66" si="149">CH65-(CH65-CJ65)*(CI$56-CH$56)/(CJ$56-CH$56)</f>
        <v>4.9099999999999993</v>
      </c>
      <c r="CJ65" s="207">
        <v>3.21</v>
      </c>
      <c r="CK65" s="207">
        <f t="shared" ref="CK65:CK66" si="150">CJ65-(CJ65-CL65)*(CK$56-CJ$56)/(CL$56-CJ$56)</f>
        <v>4.6100000000000012</v>
      </c>
      <c r="CL65" s="207">
        <v>3.07</v>
      </c>
      <c r="CM65" s="207">
        <f t="shared" ref="CM65:CM66" si="151">CL65-(CL65-CN65)*(CM$56-CL$56)/(CN$56-CL$56)</f>
        <v>4.4999999999999982</v>
      </c>
      <c r="CN65" s="208">
        <v>2.94</v>
      </c>
    </row>
    <row r="66" spans="7:93" ht="20.149999999999999" customHeight="1" thickBot="1" x14ac:dyDescent="0.3">
      <c r="G66" s="210" t="s">
        <v>244</v>
      </c>
      <c r="H66" s="525">
        <f>H2</f>
        <v>1</v>
      </c>
      <c r="K66" s="619"/>
      <c r="M66" s="732" t="s">
        <v>566</v>
      </c>
      <c r="N66" s="201">
        <f t="shared" ref="N66" si="152">P66+(R66-T66)</f>
        <v>5.2400000000000011</v>
      </c>
      <c r="O66" s="202">
        <f t="shared" si="117"/>
        <v>5.8600000000000021</v>
      </c>
      <c r="P66" s="202">
        <f t="shared" si="118"/>
        <v>4.9300000000000006</v>
      </c>
      <c r="Q66" s="202">
        <f t="shared" si="119"/>
        <v>5.8600000000000021</v>
      </c>
      <c r="R66" s="202">
        <v>4.62</v>
      </c>
      <c r="S66" s="202">
        <f t="shared" si="120"/>
        <v>5.8600000000000021</v>
      </c>
      <c r="T66" s="202">
        <v>4.3099999999999996</v>
      </c>
      <c r="U66" s="202">
        <f t="shared" si="121"/>
        <v>5.5099999999999962</v>
      </c>
      <c r="V66" s="202">
        <v>4.07</v>
      </c>
      <c r="W66" s="202">
        <f t="shared" si="122"/>
        <v>5.2100000000000026</v>
      </c>
      <c r="X66" s="202">
        <v>3.88</v>
      </c>
      <c r="Y66" s="202">
        <f t="shared" si="123"/>
        <v>5.0699999999999994</v>
      </c>
      <c r="Z66" s="202">
        <v>3.71</v>
      </c>
      <c r="AA66" s="202">
        <f t="shared" si="124"/>
        <v>4.7499999999999991</v>
      </c>
      <c r="AB66" s="202">
        <v>3.58</v>
      </c>
      <c r="AC66" s="202">
        <f t="shared" si="125"/>
        <v>4.660000000000001</v>
      </c>
      <c r="AD66" s="202">
        <v>3.46</v>
      </c>
      <c r="AE66" s="202">
        <f t="shared" si="126"/>
        <v>4.5599999999999987</v>
      </c>
      <c r="AF66" s="202">
        <v>3.35</v>
      </c>
      <c r="AG66" s="202">
        <f t="shared" si="127"/>
        <v>4.3400000000000034</v>
      </c>
      <c r="AH66" s="203">
        <v>3.26</v>
      </c>
      <c r="AJ66" s="188" t="s">
        <v>256</v>
      </c>
      <c r="AK66" s="190">
        <f>AK65*AK57*AK58*AK59*AK60*AK61*AK62</f>
        <v>6.3679146000000006</v>
      </c>
      <c r="AP66" s="732" t="s">
        <v>566</v>
      </c>
      <c r="AQ66" s="201">
        <f t="shared" si="128"/>
        <v>7.1</v>
      </c>
      <c r="AR66" s="202">
        <f t="shared" si="129"/>
        <v>8.2799999999999994</v>
      </c>
      <c r="AS66" s="202">
        <f t="shared" si="130"/>
        <v>6.51</v>
      </c>
      <c r="AT66" s="202">
        <f t="shared" si="131"/>
        <v>8.2799999999999994</v>
      </c>
      <c r="AU66" s="202">
        <v>5.92</v>
      </c>
      <c r="AV66" s="202">
        <f t="shared" si="132"/>
        <v>8.2799999999999994</v>
      </c>
      <c r="AW66" s="202">
        <v>5.33</v>
      </c>
      <c r="AX66" s="202">
        <f t="shared" si="133"/>
        <v>7.530000000000002</v>
      </c>
      <c r="AY66" s="202">
        <v>4.8899999999999997</v>
      </c>
      <c r="AZ66" s="202">
        <f t="shared" si="134"/>
        <v>6.9899999999999975</v>
      </c>
      <c r="BA66" s="202">
        <v>4.54</v>
      </c>
      <c r="BB66" s="202">
        <f t="shared" si="135"/>
        <v>6.5000000000000018</v>
      </c>
      <c r="BC66" s="202">
        <v>4.26</v>
      </c>
      <c r="BD66" s="202">
        <f t="shared" si="136"/>
        <v>6.1800000000000015</v>
      </c>
      <c r="BE66" s="202">
        <v>4.0199999999999996</v>
      </c>
      <c r="BF66" s="202">
        <f t="shared" si="137"/>
        <v>5.8199999999999967</v>
      </c>
      <c r="BG66" s="202">
        <v>3.82</v>
      </c>
      <c r="BH66" s="202">
        <f t="shared" si="138"/>
        <v>5.52</v>
      </c>
      <c r="BI66" s="202">
        <v>3.65</v>
      </c>
      <c r="BJ66" s="202">
        <f t="shared" si="139"/>
        <v>5.2999999999999989</v>
      </c>
      <c r="BK66" s="203">
        <v>3.5</v>
      </c>
      <c r="BM66" s="188" t="s">
        <v>257</v>
      </c>
      <c r="BN66" s="190">
        <f>BN65*BN57*BN58*BN59*BN60*BN61*BN62</f>
        <v>65379</v>
      </c>
      <c r="BS66" s="732" t="s">
        <v>566</v>
      </c>
      <c r="BT66" s="631">
        <f t="shared" si="140"/>
        <v>8.0599999999999987</v>
      </c>
      <c r="BU66" s="205">
        <f t="shared" si="141"/>
        <v>9.3999999999999968</v>
      </c>
      <c r="BV66" s="205">
        <f t="shared" si="142"/>
        <v>7.39</v>
      </c>
      <c r="BW66" s="205">
        <f t="shared" si="143"/>
        <v>9.3999999999999986</v>
      </c>
      <c r="BX66" s="205">
        <v>6.72</v>
      </c>
      <c r="BY66" s="206">
        <f t="shared" si="144"/>
        <v>9.3999999999999986</v>
      </c>
      <c r="BZ66" s="207">
        <v>6.05</v>
      </c>
      <c r="CA66" s="206">
        <f t="shared" si="145"/>
        <v>8.5500000000000007</v>
      </c>
      <c r="CB66" s="207">
        <v>5.55</v>
      </c>
      <c r="CC66" s="206">
        <f t="shared" si="146"/>
        <v>7.9499999999999966</v>
      </c>
      <c r="CD66" s="207">
        <v>5.15</v>
      </c>
      <c r="CE66" s="206">
        <f t="shared" si="147"/>
        <v>7.3900000000000023</v>
      </c>
      <c r="CF66" s="207">
        <v>4.83</v>
      </c>
      <c r="CG66" s="206">
        <f t="shared" si="148"/>
        <v>6.9099999999999984</v>
      </c>
      <c r="CH66" s="207">
        <v>4.57</v>
      </c>
      <c r="CI66" s="628">
        <f t="shared" si="149"/>
        <v>6.6400000000000041</v>
      </c>
      <c r="CJ66" s="207">
        <v>4.34</v>
      </c>
      <c r="CK66" s="207">
        <f t="shared" si="150"/>
        <v>6.3400000000000016</v>
      </c>
      <c r="CL66" s="207">
        <v>4.1399999999999997</v>
      </c>
      <c r="CM66" s="207">
        <f t="shared" si="151"/>
        <v>6.0099999999999945</v>
      </c>
      <c r="CN66" s="208">
        <v>3.97</v>
      </c>
    </row>
    <row r="67" spans="7:93" ht="20.149999999999999" customHeight="1" thickBot="1" x14ac:dyDescent="0.3">
      <c r="G67" s="211" t="s">
        <v>245</v>
      </c>
      <c r="H67" s="525">
        <f>H3</f>
        <v>0.98199999999999998</v>
      </c>
      <c r="K67" s="619"/>
      <c r="M67" s="734"/>
      <c r="N67" s="205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8"/>
      <c r="AJ67" s="8"/>
      <c r="AP67" s="734"/>
      <c r="AQ67" s="205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8"/>
      <c r="BM67" s="8"/>
      <c r="BS67" s="734"/>
      <c r="BT67" s="631"/>
      <c r="BU67" s="205"/>
      <c r="BV67" s="205"/>
      <c r="BW67" s="205"/>
      <c r="BX67" s="205"/>
      <c r="BY67" s="206"/>
      <c r="BZ67" s="207"/>
      <c r="CA67" s="206"/>
      <c r="CB67" s="207"/>
      <c r="CC67" s="206"/>
      <c r="CD67" s="207"/>
      <c r="CE67" s="206"/>
      <c r="CF67" s="207"/>
      <c r="CG67" s="206"/>
      <c r="CH67" s="207"/>
      <c r="CI67" s="628"/>
      <c r="CJ67" s="207"/>
      <c r="CK67" s="207"/>
      <c r="CL67" s="207"/>
      <c r="CM67" s="207"/>
      <c r="CN67" s="208"/>
    </row>
    <row r="68" spans="7:93" ht="20.149999999999999" customHeight="1" x14ac:dyDescent="0.25">
      <c r="G68" s="212" t="s">
        <v>246</v>
      </c>
      <c r="H68" s="526">
        <f>H4</f>
        <v>1</v>
      </c>
      <c r="K68" s="24"/>
      <c r="M68" s="738" t="s">
        <v>215</v>
      </c>
      <c r="N68" s="726" t="s">
        <v>35</v>
      </c>
      <c r="O68" s="739" t="s">
        <v>82</v>
      </c>
      <c r="AP68" s="738" t="s">
        <v>220</v>
      </c>
      <c r="AQ68" s="726" t="s">
        <v>35</v>
      </c>
      <c r="AR68" s="739" t="s">
        <v>82</v>
      </c>
      <c r="BS68" s="191" t="s">
        <v>228</v>
      </c>
      <c r="BT68" s="189" t="s">
        <v>35</v>
      </c>
      <c r="BU68" s="192" t="s">
        <v>82</v>
      </c>
      <c r="CN68" s="23"/>
      <c r="CO68" s="18"/>
    </row>
    <row r="69" spans="7:93" ht="20.149999999999999" customHeight="1" thickBot="1" x14ac:dyDescent="0.3">
      <c r="G69" s="212" t="s">
        <v>247</v>
      </c>
      <c r="H69" s="525">
        <f>H54</f>
        <v>1</v>
      </c>
      <c r="M69" s="735">
        <f>IF(D26="","",MATCH(D26,M57:M67))</f>
        <v>3</v>
      </c>
      <c r="N69" s="736">
        <f>IF(D10="","",MATCH('Ermittlung Schneelast'!D19,N56:AH56,0))</f>
        <v>11</v>
      </c>
      <c r="O69" s="737">
        <f>IF(OR(D26="",D25=""),0,INDEX(N57:AH67,M69,N69))</f>
        <v>7.03</v>
      </c>
      <c r="AP69" s="735">
        <f>IF($D$26="","",MATCH($D$26,AP57:AP67))</f>
        <v>3</v>
      </c>
      <c r="AQ69" s="736">
        <f>IF($D$10="","",MATCH('Ermittlung Schneelast'!$D$19,AQ56:BK56,0))</f>
        <v>11</v>
      </c>
      <c r="AR69" s="737">
        <f>IF(OR($D$25="",$D$26=""),0,INDEX(AQ57:BK67,AP69,AQ69))</f>
        <v>7.03</v>
      </c>
      <c r="BS69" s="189">
        <f>IF($D$26="","",MATCH($D$26,BS57:BS67))</f>
        <v>3</v>
      </c>
      <c r="BT69" s="189">
        <f>IF($D$10="","",MATCH('Ermittlung Schneelast'!$D$19,BT56:CN56,0))</f>
        <v>11</v>
      </c>
      <c r="BU69" s="193">
        <f>IF(OR($D$25="",$D$26=""),0,INDEX(BT57:CN67,BS69,BT69))</f>
        <v>7.03</v>
      </c>
      <c r="CN69" s="23"/>
      <c r="CO69" s="18"/>
    </row>
    <row r="70" spans="7:93" ht="20.149999999999999" customHeight="1" thickBot="1" x14ac:dyDescent="0.3">
      <c r="G70" s="212" t="s">
        <v>248</v>
      </c>
      <c r="H70" s="525">
        <f>H55</f>
        <v>1</v>
      </c>
      <c r="CN70" s="23"/>
      <c r="CO70" s="18"/>
    </row>
    <row r="71" spans="7:93" ht="20.149999999999999" customHeight="1" thickBot="1" x14ac:dyDescent="0.3">
      <c r="G71" s="212" t="s">
        <v>250</v>
      </c>
      <c r="H71" s="525">
        <f>VLOOKUP($D$41,Daten!$A$44:$B$47,2)</f>
        <v>0.93</v>
      </c>
      <c r="M71" s="603" t="s">
        <v>252</v>
      </c>
      <c r="N71" s="604">
        <v>1</v>
      </c>
      <c r="O71" s="605">
        <f>IF(AND(D38&gt;1,D38&lt;1.5),D38,0)</f>
        <v>0</v>
      </c>
      <c r="P71" s="604">
        <v>1.5</v>
      </c>
      <c r="Q71" s="605">
        <f>IF(AND(D38&gt;1.5,D38&lt;2),D38,0)</f>
        <v>0</v>
      </c>
      <c r="R71" s="605">
        <v>2</v>
      </c>
      <c r="S71" s="605">
        <f>IF(AND(D38&gt;2,D38&lt;2.5),D38,0)</f>
        <v>0</v>
      </c>
      <c r="T71" s="605">
        <v>2.5</v>
      </c>
      <c r="U71" s="605">
        <f>IF(AND(D38&gt;2.5,D38&lt;3),D38,0)</f>
        <v>0</v>
      </c>
      <c r="V71" s="605">
        <v>3</v>
      </c>
      <c r="W71" s="605">
        <f>IF(AND(D38&gt;3,D38&lt;3.5),D38,0)</f>
        <v>0</v>
      </c>
      <c r="X71" s="605">
        <v>3.5</v>
      </c>
      <c r="Y71" s="605">
        <f>IF(AND(D38&gt;3.5,D38&lt;4),D38,0)</f>
        <v>0</v>
      </c>
      <c r="Z71" s="606">
        <v>4</v>
      </c>
      <c r="AA71" s="23"/>
      <c r="AB71" s="23"/>
      <c r="AC71" s="23"/>
      <c r="AD71" s="23"/>
      <c r="AE71" s="23"/>
      <c r="AF71" s="23"/>
      <c r="AG71" s="23"/>
      <c r="AH71" s="23"/>
      <c r="AI71" s="113"/>
      <c r="AJ71" s="720" t="s">
        <v>259</v>
      </c>
      <c r="AK71" s="721"/>
      <c r="AL71" s="108"/>
      <c r="AM71" s="108"/>
      <c r="AN71" s="108"/>
      <c r="AO71" s="108"/>
      <c r="AP71" s="603" t="s">
        <v>260</v>
      </c>
      <c r="AQ71" s="620">
        <v>1</v>
      </c>
      <c r="AR71" s="605">
        <f>IF(AND(D38&gt;1,D38&lt;1.5),D38,0)</f>
        <v>0</v>
      </c>
      <c r="AS71" s="605">
        <v>1.5</v>
      </c>
      <c r="AT71" s="605">
        <f>IF(AND(D38&gt;1.5,D38&lt;2),D38,0)</f>
        <v>0</v>
      </c>
      <c r="AU71" s="605">
        <v>2</v>
      </c>
      <c r="AV71" s="605">
        <f>IF(AND(D38&gt;2,D38&lt;2.5),D38,0)</f>
        <v>0</v>
      </c>
      <c r="AW71" s="605">
        <v>2.5</v>
      </c>
      <c r="AX71" s="605">
        <f>IF(AND(D38&gt;2.5,D38&lt;3),D38,0)</f>
        <v>0</v>
      </c>
      <c r="AY71" s="605">
        <v>3</v>
      </c>
      <c r="AZ71" s="605">
        <f>IF(AND(D38&gt;3,D38&lt;3.5),D38,0)</f>
        <v>0</v>
      </c>
      <c r="BA71" s="605">
        <v>3.5</v>
      </c>
      <c r="BB71" s="605">
        <f>IF(AND(D38&gt;3.5,D38&lt;4),D38,0)</f>
        <v>0</v>
      </c>
      <c r="BC71" s="606">
        <v>4</v>
      </c>
      <c r="BD71" s="23"/>
      <c r="BE71" s="23"/>
      <c r="BF71" s="23"/>
      <c r="BG71" s="23"/>
      <c r="BH71" s="23"/>
      <c r="BI71" s="23"/>
      <c r="BJ71" s="23"/>
      <c r="BK71" s="23"/>
      <c r="BL71" s="18"/>
      <c r="BM71" s="720" t="s">
        <v>267</v>
      </c>
      <c r="BN71" s="721"/>
      <c r="BO71" s="108"/>
      <c r="BP71" s="108"/>
      <c r="BQ71" s="108"/>
      <c r="BR71" s="108"/>
      <c r="BS71" s="603" t="s">
        <v>268</v>
      </c>
      <c r="BT71" s="620">
        <v>1</v>
      </c>
      <c r="BU71" s="605">
        <f>IF(AND(D38&gt;1,D38&lt;1.5),D38,0)</f>
        <v>0</v>
      </c>
      <c r="BV71" s="605">
        <v>1.5</v>
      </c>
      <c r="BW71" s="605">
        <f>IF(AND(D38&gt;1.5,D38&lt;2),D38,0)</f>
        <v>0</v>
      </c>
      <c r="BX71" s="605">
        <v>2</v>
      </c>
      <c r="BY71" s="605">
        <f>IF(AND(D38&gt;2,D38&lt;2.5),D38,0)</f>
        <v>0</v>
      </c>
      <c r="BZ71" s="605">
        <v>2.5</v>
      </c>
      <c r="CA71" s="605">
        <f>IF(AND(D38&gt;2.5,D38&lt;3),D38,0)</f>
        <v>0</v>
      </c>
      <c r="CB71" s="605">
        <v>3</v>
      </c>
      <c r="CC71" s="605">
        <f>IF(AND(D38&gt;3,D38&lt;3.5),D38,0)</f>
        <v>0</v>
      </c>
      <c r="CD71" s="605">
        <v>3.5</v>
      </c>
      <c r="CE71" s="605">
        <f>IF(AND(D38&gt;3.5,D38&lt;4),D38,0)</f>
        <v>0</v>
      </c>
      <c r="CF71" s="606">
        <v>4</v>
      </c>
      <c r="CG71" s="23"/>
      <c r="CH71" s="23"/>
      <c r="CI71" s="23"/>
      <c r="CJ71" s="23"/>
      <c r="CK71" s="23"/>
      <c r="CL71" s="23"/>
      <c r="CM71" s="23"/>
      <c r="CN71" s="23"/>
      <c r="CO71" s="18"/>
    </row>
    <row r="72" spans="7:93" ht="20.149999999999999" customHeight="1" thickBot="1" x14ac:dyDescent="0.3">
      <c r="M72" s="216" t="s">
        <v>141</v>
      </c>
      <c r="N72" s="607">
        <v>5.03</v>
      </c>
      <c r="O72" s="608">
        <f t="shared" ref="O72:O85" si="153">N72-(N72-P72)*(O$71-N$71)/(P$71-N$71)</f>
        <v>6.2700000000000005</v>
      </c>
      <c r="P72" s="608">
        <v>4.41</v>
      </c>
      <c r="Q72" s="608">
        <f t="shared" ref="Q72:Q85" si="154">P72-(P72-R72)*(Q$71-P$71)/(R$71-P$71)</f>
        <v>5.55</v>
      </c>
      <c r="R72" s="608">
        <v>4.03</v>
      </c>
      <c r="S72" s="608">
        <f t="shared" ref="S72:S85" si="155">R72-(R72-T72)*(S$71-R$71)/(T$71-R$71)</f>
        <v>5.2300000000000013</v>
      </c>
      <c r="T72" s="608">
        <v>3.73</v>
      </c>
      <c r="U72" s="608">
        <f t="shared" ref="U72:U85" si="156">T72-(T72-V72)*(U$71-T$71)/(V$71-T$71)</f>
        <v>4.830000000000001</v>
      </c>
      <c r="V72" s="608">
        <v>3.51</v>
      </c>
      <c r="W72" s="608">
        <f t="shared" ref="W72:W85" si="157">V72-(V72-X72)*(W$71-V$71)/(X$71-V$71)</f>
        <v>4.5299999999999994</v>
      </c>
      <c r="X72" s="608">
        <v>3.34</v>
      </c>
      <c r="Y72" s="608">
        <f t="shared" ref="Y72:Y85" si="158">X72-(X72-Z72)*(Y$71-X$71)/(Z$71-X$71)</f>
        <v>4.3899999999999988</v>
      </c>
      <c r="Z72" s="609">
        <v>3.19</v>
      </c>
      <c r="AA72" s="23"/>
      <c r="AB72" s="23"/>
      <c r="AC72" s="23"/>
      <c r="AD72" s="23"/>
      <c r="AE72" s="23"/>
      <c r="AF72" s="23"/>
      <c r="AG72" s="23"/>
      <c r="AH72" s="23"/>
      <c r="AI72" s="115"/>
      <c r="AJ72" s="210" t="s">
        <v>261</v>
      </c>
      <c r="AK72" s="525">
        <f>AK2</f>
        <v>1</v>
      </c>
      <c r="AL72" s="107"/>
      <c r="AM72" s="107"/>
      <c r="AN72" s="107"/>
      <c r="AO72" s="107"/>
      <c r="AP72" s="622" t="s">
        <v>141</v>
      </c>
      <c r="AQ72" s="621">
        <v>5.96</v>
      </c>
      <c r="AR72" s="608">
        <f t="shared" ref="AR72:AR85" si="159">AQ72-(AQ72-AS72)*(AR$71-AQ$71)/(AS$71-AQ$71)</f>
        <v>8.1000000000000014</v>
      </c>
      <c r="AS72" s="608">
        <v>4.8899999999999997</v>
      </c>
      <c r="AT72" s="608">
        <f t="shared" ref="AT72:AT85" si="160">AS72-(AS72-AU72)*(AT$71-AS$71)/(AU$71-AS$71)</f>
        <v>6.8099999999999987</v>
      </c>
      <c r="AU72" s="608">
        <v>4.25</v>
      </c>
      <c r="AV72" s="608">
        <f t="shared" ref="AV72:AV85" si="161">AU72-(AU72-AW72)*(AV$71-AU$71)/(AW$71-AU$71)</f>
        <v>6.0500000000000007</v>
      </c>
      <c r="AW72" s="608">
        <v>3.8</v>
      </c>
      <c r="AX72" s="608">
        <f t="shared" ref="AX72:AX85" si="162">AW72-(AW72-AY72)*(AX$71-AW$71)/(AY$71-AW$71)</f>
        <v>5.3999999999999986</v>
      </c>
      <c r="AY72" s="608">
        <v>3.48</v>
      </c>
      <c r="AZ72" s="608">
        <f t="shared" ref="AZ72:AZ85" si="163">AY72-(AY72-BA72)*(AZ$71-AY$71)/(BA$71-AY$71)</f>
        <v>5.0399999999999991</v>
      </c>
      <c r="BA72" s="608">
        <v>3.22</v>
      </c>
      <c r="BB72" s="608">
        <f t="shared" ref="BB72:BB85" si="164">BA72-(BA72-BC72)*(BB$71-BA$71)/(BC$71-BA$71)</f>
        <v>4.6900000000000031</v>
      </c>
      <c r="BC72" s="609">
        <v>3.01</v>
      </c>
      <c r="BD72" s="23"/>
      <c r="BE72" s="23"/>
      <c r="BF72" s="23"/>
      <c r="BG72" s="23"/>
      <c r="BH72" s="23"/>
      <c r="BI72" s="23"/>
      <c r="BJ72" s="23"/>
      <c r="BK72" s="23"/>
      <c r="BL72" s="18"/>
      <c r="BM72" s="210" t="s">
        <v>269</v>
      </c>
      <c r="BN72" s="525">
        <f>BN2</f>
        <v>1</v>
      </c>
      <c r="BO72" s="107"/>
      <c r="BP72" s="107"/>
      <c r="BQ72" s="107"/>
      <c r="BR72" s="107"/>
      <c r="BS72" s="622" t="s">
        <v>141</v>
      </c>
      <c r="BT72" s="621">
        <v>6.77</v>
      </c>
      <c r="BU72" s="608">
        <f t="shared" ref="BU72:BU85" si="165">BT72-(BT72-BV72)*(BU$71-BT$71)/(BV$71-BT$71)</f>
        <v>9.2099999999999991</v>
      </c>
      <c r="BV72" s="608">
        <v>5.55</v>
      </c>
      <c r="BW72" s="608">
        <f t="shared" ref="BW72:BW85" si="166">BV72-(BV72-BX72)*(BW$71-BV$71)/(BX$71-BV$71)</f>
        <v>7.7399999999999984</v>
      </c>
      <c r="BX72" s="608">
        <v>4.82</v>
      </c>
      <c r="BY72" s="608">
        <f t="shared" ref="BY72:BY85" si="167">BX72-(BX72-BZ72)*(BY$71-BX$71)/(BZ$71-BX$71)</f>
        <v>6.860000000000003</v>
      </c>
      <c r="BZ72" s="608">
        <v>4.3099999999999996</v>
      </c>
      <c r="CA72" s="608">
        <f t="shared" ref="CA72:CA85" si="168">BZ72-(BZ72-CB72)*(CA$71-BZ$71)/(CB$71-BZ$71)</f>
        <v>6.1599999999999984</v>
      </c>
      <c r="CB72" s="608">
        <v>3.94</v>
      </c>
      <c r="CC72" s="608">
        <f t="shared" ref="CC72:CC85" si="169">CB72-(CB72-CD72)*(CC$71-CB$71)/(CD$71-CB$71)</f>
        <v>5.68</v>
      </c>
      <c r="CD72" s="608">
        <v>3.65</v>
      </c>
      <c r="CE72" s="608">
        <f t="shared" ref="CE72:CE85" si="170">CD72-(CD72-CF72)*(CE$71-CD$71)/(CF$71-CD$71)</f>
        <v>5.26</v>
      </c>
      <c r="CF72" s="609">
        <v>3.42</v>
      </c>
      <c r="CG72" s="23"/>
      <c r="CH72" s="23"/>
      <c r="CI72" s="23"/>
      <c r="CJ72" s="23"/>
      <c r="CK72" s="23"/>
      <c r="CL72" s="23"/>
      <c r="CM72" s="23"/>
      <c r="CN72" s="23"/>
      <c r="CO72" s="18"/>
    </row>
    <row r="73" spans="7:93" ht="20.149999999999999" customHeight="1" x14ac:dyDescent="0.25">
      <c r="G73" s="586" t="s">
        <v>446</v>
      </c>
      <c r="H73" s="525">
        <f>VLOOKUP($B$46,Daten!$A$104:$B$110,2)</f>
        <v>1</v>
      </c>
      <c r="M73" s="220" t="s">
        <v>502</v>
      </c>
      <c r="N73" s="610">
        <v>7.32</v>
      </c>
      <c r="O73" s="219">
        <f t="shared" si="153"/>
        <v>9</v>
      </c>
      <c r="P73" s="219">
        <v>6.48</v>
      </c>
      <c r="Q73" s="219">
        <f t="shared" si="154"/>
        <v>8.1600000000000019</v>
      </c>
      <c r="R73" s="219">
        <v>5.92</v>
      </c>
      <c r="S73" s="219">
        <f t="shared" si="155"/>
        <v>7.5200000000000014</v>
      </c>
      <c r="T73" s="219">
        <v>5.52</v>
      </c>
      <c r="U73" s="219">
        <f t="shared" si="156"/>
        <v>7.0699999999999976</v>
      </c>
      <c r="V73" s="219">
        <v>5.21</v>
      </c>
      <c r="W73" s="219">
        <f t="shared" si="157"/>
        <v>6.71</v>
      </c>
      <c r="X73" s="219">
        <v>4.96</v>
      </c>
      <c r="Y73" s="219">
        <f t="shared" si="158"/>
        <v>6.43</v>
      </c>
      <c r="Z73" s="611">
        <v>4.75</v>
      </c>
      <c r="AA73" s="23"/>
      <c r="AB73" s="23"/>
      <c r="AC73" s="23"/>
      <c r="AD73" s="23"/>
      <c r="AE73" s="23"/>
      <c r="AF73" s="23"/>
      <c r="AG73" s="23"/>
      <c r="AH73" s="23"/>
      <c r="AI73" s="115"/>
      <c r="AJ73" s="211" t="s">
        <v>262</v>
      </c>
      <c r="AK73" s="525">
        <f>AK3</f>
        <v>0.97399999999999998</v>
      </c>
      <c r="AL73" s="107"/>
      <c r="AM73" s="107"/>
      <c r="AN73" s="107"/>
      <c r="AO73" s="107"/>
      <c r="AP73" s="220" t="s">
        <v>502</v>
      </c>
      <c r="AQ73" s="621">
        <v>8.86</v>
      </c>
      <c r="AR73" s="608">
        <f t="shared" si="159"/>
        <v>11.859999999999998</v>
      </c>
      <c r="AS73" s="608">
        <v>7.36</v>
      </c>
      <c r="AT73" s="608">
        <f t="shared" si="160"/>
        <v>10.150000000000002</v>
      </c>
      <c r="AU73" s="608">
        <v>6.43</v>
      </c>
      <c r="AV73" s="608">
        <f t="shared" si="161"/>
        <v>9.0299999999999976</v>
      </c>
      <c r="AW73" s="608">
        <v>5.78</v>
      </c>
      <c r="AX73" s="608">
        <f t="shared" si="162"/>
        <v>8.1800000000000033</v>
      </c>
      <c r="AY73" s="608">
        <v>5.3</v>
      </c>
      <c r="AZ73" s="608">
        <f t="shared" si="163"/>
        <v>7.5799999999999992</v>
      </c>
      <c r="BA73" s="608">
        <v>4.92</v>
      </c>
      <c r="BB73" s="608">
        <f t="shared" si="164"/>
        <v>7.0899999999999972</v>
      </c>
      <c r="BC73" s="609">
        <v>4.6100000000000003</v>
      </c>
      <c r="BD73" s="23"/>
      <c r="BE73" s="23"/>
      <c r="BF73" s="23"/>
      <c r="BG73" s="23"/>
      <c r="BH73" s="23"/>
      <c r="BI73" s="23"/>
      <c r="BJ73" s="23"/>
      <c r="BK73" s="23"/>
      <c r="BL73" s="18"/>
      <c r="BM73" s="211" t="s">
        <v>270</v>
      </c>
      <c r="BN73" s="525">
        <f>BN3</f>
        <v>10000</v>
      </c>
      <c r="BO73" s="107"/>
      <c r="BP73" s="107"/>
      <c r="BQ73" s="107"/>
      <c r="BR73" s="107"/>
      <c r="BS73" s="220" t="s">
        <v>502</v>
      </c>
      <c r="BT73" s="621">
        <v>10.07</v>
      </c>
      <c r="BU73" s="608">
        <f t="shared" si="165"/>
        <v>13.490000000000002</v>
      </c>
      <c r="BV73" s="608">
        <v>8.36</v>
      </c>
      <c r="BW73" s="608">
        <f t="shared" si="166"/>
        <v>11.54</v>
      </c>
      <c r="BX73" s="608">
        <v>7.3</v>
      </c>
      <c r="BY73" s="608">
        <f t="shared" si="167"/>
        <v>10.219999999999999</v>
      </c>
      <c r="BZ73" s="608">
        <v>6.57</v>
      </c>
      <c r="CA73" s="608">
        <f t="shared" si="168"/>
        <v>9.3700000000000028</v>
      </c>
      <c r="CB73" s="608">
        <v>6.01</v>
      </c>
      <c r="CC73" s="608">
        <f t="shared" si="169"/>
        <v>8.5899999999999981</v>
      </c>
      <c r="CD73" s="608">
        <v>5.58</v>
      </c>
      <c r="CE73" s="608">
        <f t="shared" si="170"/>
        <v>8.0299999999999976</v>
      </c>
      <c r="CF73" s="609">
        <v>5.23</v>
      </c>
      <c r="CG73" s="23"/>
      <c r="CH73" s="23"/>
      <c r="CI73" s="23"/>
      <c r="CJ73" s="23"/>
      <c r="CK73" s="23"/>
      <c r="CL73" s="23"/>
      <c r="CM73" s="23"/>
      <c r="CN73" s="23"/>
      <c r="CO73" s="18"/>
    </row>
    <row r="74" spans="7:93" ht="20.149999999999999" customHeight="1" x14ac:dyDescent="0.25">
      <c r="M74" s="220" t="s">
        <v>142</v>
      </c>
      <c r="N74" s="610">
        <v>7.96</v>
      </c>
      <c r="O74" s="219">
        <f t="shared" si="153"/>
        <v>9.7800000000000011</v>
      </c>
      <c r="P74" s="219">
        <v>7.05</v>
      </c>
      <c r="Q74" s="219">
        <f t="shared" si="154"/>
        <v>8.8499999999999979</v>
      </c>
      <c r="R74" s="219">
        <v>6.45</v>
      </c>
      <c r="S74" s="219">
        <f t="shared" si="155"/>
        <v>8.2100000000000009</v>
      </c>
      <c r="T74" s="219">
        <v>6.01</v>
      </c>
      <c r="U74" s="219">
        <f t="shared" si="156"/>
        <v>7.7099999999999991</v>
      </c>
      <c r="V74" s="219">
        <v>5.67</v>
      </c>
      <c r="W74" s="219">
        <f t="shared" si="157"/>
        <v>7.2899999999999974</v>
      </c>
      <c r="X74" s="219">
        <v>5.4</v>
      </c>
      <c r="Y74" s="219">
        <f t="shared" si="158"/>
        <v>7.0100000000000033</v>
      </c>
      <c r="Z74" s="611">
        <v>5.17</v>
      </c>
      <c r="AA74" s="23"/>
      <c r="AB74" s="23"/>
      <c r="AC74" s="23"/>
      <c r="AD74" s="23"/>
      <c r="AE74" s="23"/>
      <c r="AF74" s="23"/>
      <c r="AG74" s="23"/>
      <c r="AH74" s="23"/>
      <c r="AI74" s="115"/>
      <c r="AJ74" s="212" t="s">
        <v>263</v>
      </c>
      <c r="AK74" s="526">
        <f>AK4</f>
        <v>1</v>
      </c>
      <c r="AL74" s="107"/>
      <c r="AM74" s="107"/>
      <c r="AN74" s="107"/>
      <c r="AO74" s="107"/>
      <c r="AP74" s="220" t="s">
        <v>142</v>
      </c>
      <c r="AQ74" s="222">
        <v>10.07</v>
      </c>
      <c r="AR74" s="219">
        <f t="shared" si="159"/>
        <v>13.470000000000002</v>
      </c>
      <c r="AS74" s="219">
        <v>8.3699999999999992</v>
      </c>
      <c r="AT74" s="219">
        <f t="shared" si="160"/>
        <v>11.519999999999996</v>
      </c>
      <c r="AU74" s="219">
        <v>7.32</v>
      </c>
      <c r="AV74" s="219">
        <f t="shared" si="161"/>
        <v>10.240000000000002</v>
      </c>
      <c r="AW74" s="219">
        <v>6.59</v>
      </c>
      <c r="AX74" s="219">
        <f t="shared" si="162"/>
        <v>9.389999999999997</v>
      </c>
      <c r="AY74" s="219">
        <v>6.03</v>
      </c>
      <c r="AZ74" s="219">
        <f t="shared" si="163"/>
        <v>8.610000000000003</v>
      </c>
      <c r="BA74" s="219">
        <v>5.6</v>
      </c>
      <c r="BB74" s="219">
        <f t="shared" si="164"/>
        <v>8.0499999999999972</v>
      </c>
      <c r="BC74" s="611">
        <v>5.25</v>
      </c>
      <c r="BD74" s="23"/>
      <c r="BE74" s="23"/>
      <c r="BF74" s="23"/>
      <c r="BG74" s="23"/>
      <c r="BH74" s="23"/>
      <c r="BI74" s="23"/>
      <c r="BJ74" s="23"/>
      <c r="BK74" s="23"/>
      <c r="BL74" s="18"/>
      <c r="BM74" s="212" t="s">
        <v>271</v>
      </c>
      <c r="BN74" s="526">
        <f>BN4</f>
        <v>1</v>
      </c>
      <c r="BO74" s="107"/>
      <c r="BP74" s="107"/>
      <c r="BQ74" s="107"/>
      <c r="BR74" s="107"/>
      <c r="BS74" s="220" t="s">
        <v>142</v>
      </c>
      <c r="BT74" s="222">
        <v>11.45</v>
      </c>
      <c r="BU74" s="219">
        <f t="shared" si="165"/>
        <v>15.329999999999998</v>
      </c>
      <c r="BV74" s="219">
        <v>9.51</v>
      </c>
      <c r="BW74" s="219">
        <f t="shared" si="166"/>
        <v>13.109999999999998</v>
      </c>
      <c r="BX74" s="219">
        <v>8.31</v>
      </c>
      <c r="BY74" s="219">
        <f t="shared" si="167"/>
        <v>11.63</v>
      </c>
      <c r="BZ74" s="219">
        <v>7.48</v>
      </c>
      <c r="CA74" s="219">
        <f t="shared" si="168"/>
        <v>10.630000000000004</v>
      </c>
      <c r="CB74" s="219">
        <v>6.85</v>
      </c>
      <c r="CC74" s="219">
        <f t="shared" si="169"/>
        <v>9.7899999999999956</v>
      </c>
      <c r="CD74" s="219">
        <v>6.36</v>
      </c>
      <c r="CE74" s="219">
        <f t="shared" si="170"/>
        <v>9.1600000000000037</v>
      </c>
      <c r="CF74" s="611">
        <v>5.96</v>
      </c>
      <c r="CG74" s="23"/>
      <c r="CH74" s="23"/>
      <c r="CI74" s="23"/>
      <c r="CJ74" s="23"/>
      <c r="CK74" s="23"/>
      <c r="CL74" s="23"/>
      <c r="CM74" s="23"/>
      <c r="CN74" s="23"/>
      <c r="CO74" s="18"/>
    </row>
    <row r="75" spans="7:93" ht="20.149999999999999" customHeight="1" x14ac:dyDescent="0.25">
      <c r="G75" s="214" t="s">
        <v>275</v>
      </c>
      <c r="H75" s="215">
        <f>O88</f>
        <v>5.27</v>
      </c>
      <c r="M75" s="615" t="s">
        <v>113</v>
      </c>
      <c r="N75" s="610">
        <v>3.36</v>
      </c>
      <c r="O75" s="219">
        <f t="shared" si="153"/>
        <v>4.1999999999999993</v>
      </c>
      <c r="P75" s="219">
        <v>2.94</v>
      </c>
      <c r="Q75" s="219">
        <f t="shared" si="154"/>
        <v>3.7199999999999993</v>
      </c>
      <c r="R75" s="219">
        <v>2.68</v>
      </c>
      <c r="S75" s="219">
        <f t="shared" si="155"/>
        <v>3.44</v>
      </c>
      <c r="T75" s="219">
        <v>2.4900000000000002</v>
      </c>
      <c r="U75" s="219">
        <f t="shared" si="156"/>
        <v>3.240000000000002</v>
      </c>
      <c r="V75" s="219">
        <v>2.34</v>
      </c>
      <c r="W75" s="219">
        <f t="shared" si="157"/>
        <v>3.0599999999999978</v>
      </c>
      <c r="X75" s="219">
        <v>2.2200000000000002</v>
      </c>
      <c r="Y75" s="219">
        <f t="shared" si="158"/>
        <v>2.8500000000000023</v>
      </c>
      <c r="Z75" s="611">
        <v>2.13</v>
      </c>
      <c r="AA75" s="23"/>
      <c r="AB75" s="23"/>
      <c r="AC75" s="23"/>
      <c r="AD75" s="23"/>
      <c r="AE75" s="23"/>
      <c r="AF75" s="23"/>
      <c r="AG75" s="23"/>
      <c r="AH75" s="23"/>
      <c r="AI75" s="115"/>
      <c r="AJ75" s="212" t="s">
        <v>264</v>
      </c>
      <c r="AK75" s="525">
        <f>AK60</f>
        <v>1</v>
      </c>
      <c r="AL75" s="109"/>
      <c r="AM75" s="109"/>
      <c r="AN75" s="109"/>
      <c r="AO75" s="109"/>
      <c r="AP75" s="615" t="s">
        <v>113</v>
      </c>
      <c r="AQ75" s="222">
        <v>3.9</v>
      </c>
      <c r="AR75" s="219">
        <f t="shared" si="159"/>
        <v>5.32</v>
      </c>
      <c r="AS75" s="219">
        <v>3.19</v>
      </c>
      <c r="AT75" s="219">
        <f t="shared" si="160"/>
        <v>4.4499999999999993</v>
      </c>
      <c r="AU75" s="219">
        <v>2.77</v>
      </c>
      <c r="AV75" s="219">
        <f t="shared" si="161"/>
        <v>3.93</v>
      </c>
      <c r="AW75" s="219">
        <v>2.48</v>
      </c>
      <c r="AX75" s="219">
        <f t="shared" si="162"/>
        <v>3.580000000000001</v>
      </c>
      <c r="AY75" s="219">
        <v>2.2599999999999998</v>
      </c>
      <c r="AZ75" s="219">
        <f t="shared" si="163"/>
        <v>3.219999999999998</v>
      </c>
      <c r="BA75" s="219">
        <v>2.1</v>
      </c>
      <c r="BB75" s="219">
        <f t="shared" si="164"/>
        <v>3.080000000000001</v>
      </c>
      <c r="BC75" s="611">
        <v>1.96</v>
      </c>
      <c r="BD75" s="23"/>
      <c r="BE75" s="23"/>
      <c r="BF75" s="23"/>
      <c r="BG75" s="23"/>
      <c r="BH75" s="23"/>
      <c r="BI75" s="23"/>
      <c r="BJ75" s="23"/>
      <c r="BK75" s="23"/>
      <c r="BL75" s="18"/>
      <c r="BM75" s="212" t="s">
        <v>272</v>
      </c>
      <c r="BN75" s="525">
        <f>BN60</f>
        <v>1</v>
      </c>
      <c r="BO75" s="109"/>
      <c r="BP75" s="109"/>
      <c r="BQ75" s="109"/>
      <c r="BR75" s="109"/>
      <c r="BS75" s="615" t="s">
        <v>113</v>
      </c>
      <c r="BT75" s="222">
        <v>4.42</v>
      </c>
      <c r="BU75" s="219">
        <f t="shared" si="165"/>
        <v>6.02</v>
      </c>
      <c r="BV75" s="219">
        <v>3.62</v>
      </c>
      <c r="BW75" s="219">
        <f t="shared" si="166"/>
        <v>5.0600000000000005</v>
      </c>
      <c r="BX75" s="219">
        <v>3.14</v>
      </c>
      <c r="BY75" s="219">
        <f t="shared" si="167"/>
        <v>4.4600000000000009</v>
      </c>
      <c r="BZ75" s="219">
        <v>2.81</v>
      </c>
      <c r="CA75" s="219">
        <f t="shared" si="168"/>
        <v>4.0100000000000016</v>
      </c>
      <c r="CB75" s="219">
        <v>2.57</v>
      </c>
      <c r="CC75" s="219">
        <f t="shared" si="169"/>
        <v>3.7099999999999995</v>
      </c>
      <c r="CD75" s="219">
        <v>2.38</v>
      </c>
      <c r="CE75" s="219">
        <f t="shared" si="170"/>
        <v>3.4999999999999978</v>
      </c>
      <c r="CF75" s="611">
        <v>2.2200000000000002</v>
      </c>
      <c r="CG75" s="23"/>
      <c r="CH75" s="23"/>
      <c r="CI75" s="23"/>
      <c r="CJ75" s="23"/>
      <c r="CK75" s="23"/>
      <c r="CL75" s="23"/>
      <c r="CM75" s="23"/>
      <c r="CN75" s="23"/>
      <c r="CO75" s="18"/>
    </row>
    <row r="76" spans="7:93" ht="15.5" x14ac:dyDescent="0.25">
      <c r="G76" s="214" t="s">
        <v>276</v>
      </c>
      <c r="H76" s="215">
        <f>H75*H66*H67*H68*H69*H70*H71</f>
        <v>4.8128802000000004</v>
      </c>
      <c r="M76" s="221" t="s">
        <v>114</v>
      </c>
      <c r="N76" s="610">
        <v>4.88</v>
      </c>
      <c r="O76" s="219">
        <f t="shared" si="153"/>
        <v>6.04</v>
      </c>
      <c r="P76" s="219">
        <v>4.3</v>
      </c>
      <c r="Q76" s="219">
        <f t="shared" si="154"/>
        <v>5.4399999999999995</v>
      </c>
      <c r="R76" s="219">
        <v>3.92</v>
      </c>
      <c r="S76" s="219">
        <f t="shared" si="155"/>
        <v>5.0399999999999991</v>
      </c>
      <c r="T76" s="219">
        <v>3.64</v>
      </c>
      <c r="U76" s="219">
        <f t="shared" si="156"/>
        <v>4.6899999999999995</v>
      </c>
      <c r="V76" s="219">
        <v>3.43</v>
      </c>
      <c r="W76" s="219">
        <f t="shared" si="157"/>
        <v>4.3900000000000006</v>
      </c>
      <c r="X76" s="219">
        <v>3.27</v>
      </c>
      <c r="Y76" s="219">
        <f t="shared" si="158"/>
        <v>4.2500000000000009</v>
      </c>
      <c r="Z76" s="611">
        <v>3.13</v>
      </c>
      <c r="AA76" s="23"/>
      <c r="AB76" s="23"/>
      <c r="AC76" s="23"/>
      <c r="AD76" s="23"/>
      <c r="AE76" s="23"/>
      <c r="AF76" s="23"/>
      <c r="AG76" s="23"/>
      <c r="AH76" s="23"/>
      <c r="AI76" s="115"/>
      <c r="AJ76" s="212" t="s">
        <v>265</v>
      </c>
      <c r="AK76" s="527">
        <f>AK61</f>
        <v>1</v>
      </c>
      <c r="AL76" s="24"/>
      <c r="AM76" s="24"/>
      <c r="AN76" s="24"/>
      <c r="AO76" s="24"/>
      <c r="AP76" s="221" t="s">
        <v>114</v>
      </c>
      <c r="AQ76" s="222">
        <v>5.55</v>
      </c>
      <c r="AR76" s="219">
        <f t="shared" si="159"/>
        <v>7.4899999999999993</v>
      </c>
      <c r="AS76" s="219">
        <v>4.58</v>
      </c>
      <c r="AT76" s="219">
        <f t="shared" si="160"/>
        <v>6.3800000000000008</v>
      </c>
      <c r="AU76" s="219">
        <v>3.98</v>
      </c>
      <c r="AV76" s="219">
        <f t="shared" si="161"/>
        <v>5.620000000000001</v>
      </c>
      <c r="AW76" s="219">
        <v>3.57</v>
      </c>
      <c r="AX76" s="219">
        <f t="shared" si="162"/>
        <v>5.0699999999999985</v>
      </c>
      <c r="AY76" s="219">
        <v>3.27</v>
      </c>
      <c r="AZ76" s="219">
        <f t="shared" si="163"/>
        <v>4.7100000000000009</v>
      </c>
      <c r="BA76" s="219">
        <v>3.03</v>
      </c>
      <c r="BB76" s="219">
        <f t="shared" si="164"/>
        <v>4.3599999999999994</v>
      </c>
      <c r="BC76" s="611">
        <v>2.84</v>
      </c>
      <c r="BD76" s="23"/>
      <c r="BE76" s="23"/>
      <c r="BF76" s="23"/>
      <c r="BG76" s="23"/>
      <c r="BH76" s="23"/>
      <c r="BI76" s="23"/>
      <c r="BJ76" s="23"/>
      <c r="BK76" s="23"/>
      <c r="BL76" s="18"/>
      <c r="BM76" s="212" t="s">
        <v>273</v>
      </c>
      <c r="BN76" s="527">
        <f>BN61</f>
        <v>1</v>
      </c>
      <c r="BO76" s="24"/>
      <c r="BP76" s="24"/>
      <c r="BQ76" s="24"/>
      <c r="BR76" s="24"/>
      <c r="BS76" s="221" t="s">
        <v>114</v>
      </c>
      <c r="BT76" s="222">
        <v>6.3</v>
      </c>
      <c r="BU76" s="219">
        <f t="shared" si="165"/>
        <v>8.5</v>
      </c>
      <c r="BV76" s="219">
        <v>5.2</v>
      </c>
      <c r="BW76" s="219">
        <f t="shared" si="166"/>
        <v>7.240000000000002</v>
      </c>
      <c r="BX76" s="219">
        <v>4.5199999999999996</v>
      </c>
      <c r="BY76" s="219">
        <f t="shared" si="167"/>
        <v>6.3599999999999994</v>
      </c>
      <c r="BZ76" s="219">
        <v>4.0599999999999996</v>
      </c>
      <c r="CA76" s="219">
        <f t="shared" si="168"/>
        <v>5.8099999999999978</v>
      </c>
      <c r="CB76" s="219">
        <v>3.71</v>
      </c>
      <c r="CC76" s="219">
        <f t="shared" si="169"/>
        <v>5.33</v>
      </c>
      <c r="CD76" s="219">
        <v>3.44</v>
      </c>
      <c r="CE76" s="219">
        <f t="shared" si="170"/>
        <v>4.9799999999999986</v>
      </c>
      <c r="CF76" s="611">
        <v>3.22</v>
      </c>
      <c r="CG76" s="23"/>
      <c r="CH76" s="23"/>
      <c r="CI76" s="23"/>
      <c r="CJ76" s="23"/>
      <c r="CK76" s="23"/>
      <c r="CL76" s="23"/>
      <c r="CM76" s="23"/>
      <c r="CN76" s="23"/>
      <c r="CO76" s="18"/>
    </row>
    <row r="77" spans="7:93" x14ac:dyDescent="0.25">
      <c r="M77" s="223" t="s">
        <v>115</v>
      </c>
      <c r="N77" s="610">
        <v>5.46</v>
      </c>
      <c r="O77" s="219">
        <f t="shared" si="153"/>
        <v>6.7399999999999993</v>
      </c>
      <c r="P77" s="219">
        <v>4.82</v>
      </c>
      <c r="Q77" s="219">
        <f t="shared" si="154"/>
        <v>6.08</v>
      </c>
      <c r="R77" s="219">
        <v>4.4000000000000004</v>
      </c>
      <c r="S77" s="219">
        <f t="shared" si="155"/>
        <v>5.6000000000000032</v>
      </c>
      <c r="T77" s="219">
        <v>4.0999999999999996</v>
      </c>
      <c r="U77" s="219">
        <f t="shared" si="156"/>
        <v>5.2999999999999989</v>
      </c>
      <c r="V77" s="219">
        <v>3.86</v>
      </c>
      <c r="W77" s="219">
        <f t="shared" si="157"/>
        <v>4.9399999999999977</v>
      </c>
      <c r="X77" s="219">
        <v>3.68</v>
      </c>
      <c r="Y77" s="219">
        <f t="shared" si="158"/>
        <v>4.8000000000000007</v>
      </c>
      <c r="Z77" s="611">
        <v>3.52</v>
      </c>
      <c r="AA77" s="23"/>
      <c r="AB77" s="23"/>
      <c r="AC77" s="23"/>
      <c r="AD77" s="23"/>
      <c r="AE77" s="23"/>
      <c r="AF77" s="23"/>
      <c r="AG77" s="23"/>
      <c r="AH77" s="23"/>
      <c r="AI77" s="115"/>
      <c r="AJ77" s="212" t="s">
        <v>266</v>
      </c>
      <c r="AK77" s="525">
        <f>VLOOKUP($D$41,Daten!$A$44:$B$47,2)</f>
        <v>0.93</v>
      </c>
      <c r="AL77" s="10"/>
      <c r="AM77" s="10"/>
      <c r="AN77" s="10"/>
      <c r="AO77" s="10"/>
      <c r="AP77" s="223" t="s">
        <v>115</v>
      </c>
      <c r="AQ77" s="222">
        <v>6.58</v>
      </c>
      <c r="AR77" s="219">
        <f t="shared" si="159"/>
        <v>8.84</v>
      </c>
      <c r="AS77" s="219">
        <v>5.45</v>
      </c>
      <c r="AT77" s="219">
        <f t="shared" si="160"/>
        <v>7.5500000000000007</v>
      </c>
      <c r="AU77" s="219">
        <v>4.75</v>
      </c>
      <c r="AV77" s="219">
        <f t="shared" si="161"/>
        <v>6.6700000000000017</v>
      </c>
      <c r="AW77" s="219">
        <v>4.2699999999999996</v>
      </c>
      <c r="AX77" s="219">
        <f t="shared" si="162"/>
        <v>6.0699999999999967</v>
      </c>
      <c r="AY77" s="219">
        <v>3.91</v>
      </c>
      <c r="AZ77" s="219">
        <f t="shared" si="163"/>
        <v>5.5900000000000016</v>
      </c>
      <c r="BA77" s="219">
        <v>3.63</v>
      </c>
      <c r="BB77" s="219">
        <f t="shared" si="164"/>
        <v>5.24</v>
      </c>
      <c r="BC77" s="611">
        <v>3.4</v>
      </c>
      <c r="BD77" s="23"/>
      <c r="BE77" s="23"/>
      <c r="BF77" s="23"/>
      <c r="BG77" s="23"/>
      <c r="BH77" s="23"/>
      <c r="BI77" s="23"/>
      <c r="BJ77" s="23"/>
      <c r="BK77" s="23"/>
      <c r="BL77" s="18"/>
      <c r="BM77" s="212" t="s">
        <v>274</v>
      </c>
      <c r="BN77" s="525">
        <f>VLOOKUP($D$41,Daten!$A$44:$B$47,2)</f>
        <v>0.93</v>
      </c>
      <c r="BO77" s="10"/>
      <c r="BP77" s="10"/>
      <c r="BQ77" s="10"/>
      <c r="BR77" s="10"/>
      <c r="BS77" s="223" t="s">
        <v>115</v>
      </c>
      <c r="BT77" s="222">
        <v>7.47</v>
      </c>
      <c r="BU77" s="219">
        <f t="shared" si="165"/>
        <v>10.029999999999998</v>
      </c>
      <c r="BV77" s="219">
        <v>6.19</v>
      </c>
      <c r="BW77" s="219">
        <f t="shared" si="166"/>
        <v>8.56</v>
      </c>
      <c r="BX77" s="219">
        <v>5.4</v>
      </c>
      <c r="BY77" s="219">
        <f t="shared" si="167"/>
        <v>7.6000000000000032</v>
      </c>
      <c r="BZ77" s="219">
        <v>4.8499999999999996</v>
      </c>
      <c r="CA77" s="219">
        <f t="shared" si="168"/>
        <v>6.8999999999999959</v>
      </c>
      <c r="CB77" s="219">
        <v>4.4400000000000004</v>
      </c>
      <c r="CC77" s="219">
        <f t="shared" si="169"/>
        <v>6.3600000000000021</v>
      </c>
      <c r="CD77" s="219">
        <v>4.12</v>
      </c>
      <c r="CE77" s="219">
        <f t="shared" si="170"/>
        <v>5.9400000000000013</v>
      </c>
      <c r="CF77" s="611">
        <v>3.86</v>
      </c>
      <c r="CG77" s="23"/>
      <c r="CH77" s="23"/>
      <c r="CI77" s="23"/>
      <c r="CJ77" s="23"/>
      <c r="CK77" s="23"/>
      <c r="CL77" s="23"/>
      <c r="CM77" s="23"/>
      <c r="CN77" s="23"/>
      <c r="CO77" s="18"/>
    </row>
    <row r="78" spans="7:93" x14ac:dyDescent="0.25">
      <c r="M78" s="223" t="s">
        <v>116</v>
      </c>
      <c r="N78" s="610">
        <v>5.73</v>
      </c>
      <c r="O78" s="219">
        <f t="shared" si="153"/>
        <v>7.0900000000000016</v>
      </c>
      <c r="P78" s="219">
        <v>5.05</v>
      </c>
      <c r="Q78" s="219">
        <f t="shared" si="154"/>
        <v>6.3699999999999983</v>
      </c>
      <c r="R78" s="219">
        <v>4.6100000000000003</v>
      </c>
      <c r="S78" s="219">
        <f t="shared" si="155"/>
        <v>5.8500000000000023</v>
      </c>
      <c r="T78" s="219">
        <v>4.3</v>
      </c>
      <c r="U78" s="219">
        <f t="shared" si="156"/>
        <v>5.55</v>
      </c>
      <c r="V78" s="219">
        <v>4.05</v>
      </c>
      <c r="W78" s="219">
        <f t="shared" si="157"/>
        <v>5.2499999999999982</v>
      </c>
      <c r="X78" s="219">
        <v>3.85</v>
      </c>
      <c r="Y78" s="219">
        <f t="shared" si="158"/>
        <v>4.9700000000000006</v>
      </c>
      <c r="Z78" s="611">
        <v>3.69</v>
      </c>
      <c r="AA78" s="23"/>
      <c r="AB78" s="23"/>
      <c r="AC78" s="23"/>
      <c r="AD78" s="23"/>
      <c r="AE78" s="23"/>
      <c r="AF78" s="23"/>
      <c r="AG78" s="23"/>
      <c r="AH78" s="23"/>
      <c r="AI78" s="115"/>
      <c r="AJ78" s="8"/>
      <c r="AP78" s="223" t="s">
        <v>116</v>
      </c>
      <c r="AQ78" s="222">
        <v>7.09</v>
      </c>
      <c r="AR78" s="219">
        <f t="shared" si="159"/>
        <v>9.5499999999999989</v>
      </c>
      <c r="AS78" s="219">
        <v>5.86</v>
      </c>
      <c r="AT78" s="219">
        <f t="shared" si="160"/>
        <v>8.11</v>
      </c>
      <c r="AU78" s="219">
        <v>5.1100000000000003</v>
      </c>
      <c r="AV78" s="219">
        <f t="shared" si="161"/>
        <v>7.1900000000000022</v>
      </c>
      <c r="AW78" s="219">
        <v>4.59</v>
      </c>
      <c r="AX78" s="219">
        <f t="shared" si="162"/>
        <v>6.5399999999999983</v>
      </c>
      <c r="AY78" s="219">
        <v>4.2</v>
      </c>
      <c r="AZ78" s="219">
        <f t="shared" si="163"/>
        <v>6.0600000000000005</v>
      </c>
      <c r="BA78" s="219">
        <v>3.89</v>
      </c>
      <c r="BB78" s="219">
        <f t="shared" si="164"/>
        <v>5.5700000000000021</v>
      </c>
      <c r="BC78" s="611">
        <v>3.65</v>
      </c>
      <c r="BD78" s="23"/>
      <c r="BE78" s="23"/>
      <c r="BF78" s="23"/>
      <c r="BG78" s="23"/>
      <c r="BH78" s="23"/>
      <c r="BI78" s="23"/>
      <c r="BJ78" s="23"/>
      <c r="BK78" s="23"/>
      <c r="BL78" s="18"/>
      <c r="BM78" s="8"/>
      <c r="BS78" s="223" t="s">
        <v>116</v>
      </c>
      <c r="BT78" s="222">
        <v>8.0500000000000007</v>
      </c>
      <c r="BU78" s="219">
        <f t="shared" si="165"/>
        <v>10.850000000000001</v>
      </c>
      <c r="BV78" s="219">
        <v>6.65</v>
      </c>
      <c r="BW78" s="219">
        <f t="shared" si="166"/>
        <v>9.2000000000000028</v>
      </c>
      <c r="BX78" s="219">
        <v>5.8</v>
      </c>
      <c r="BY78" s="219">
        <f t="shared" si="167"/>
        <v>8.1999999999999993</v>
      </c>
      <c r="BZ78" s="219">
        <v>5.2</v>
      </c>
      <c r="CA78" s="219">
        <f t="shared" si="168"/>
        <v>7.4000000000000021</v>
      </c>
      <c r="CB78" s="219">
        <v>4.76</v>
      </c>
      <c r="CC78" s="219">
        <f t="shared" si="169"/>
        <v>6.7999999999999989</v>
      </c>
      <c r="CD78" s="219">
        <v>4.42</v>
      </c>
      <c r="CE78" s="219">
        <f t="shared" si="170"/>
        <v>6.3800000000000017</v>
      </c>
      <c r="CF78" s="611">
        <v>4.1399999999999997</v>
      </c>
      <c r="CG78" s="23"/>
      <c r="CH78" s="23"/>
      <c r="CI78" s="23"/>
      <c r="CJ78" s="23"/>
      <c r="CK78" s="23"/>
      <c r="CL78" s="23"/>
      <c r="CM78" s="23"/>
      <c r="CN78" s="23"/>
      <c r="CO78" s="18"/>
    </row>
    <row r="79" spans="7:93" x14ac:dyDescent="0.25">
      <c r="M79" s="616" t="s">
        <v>249</v>
      </c>
      <c r="N79" s="610">
        <v>6.24</v>
      </c>
      <c r="O79" s="219">
        <f t="shared" si="153"/>
        <v>7.6000000000000014</v>
      </c>
      <c r="P79" s="219">
        <v>5.56</v>
      </c>
      <c r="Q79" s="219">
        <f t="shared" si="154"/>
        <v>6.9399999999999995</v>
      </c>
      <c r="R79" s="219">
        <v>5.0999999999999996</v>
      </c>
      <c r="S79" s="219">
        <f t="shared" si="155"/>
        <v>6.4599999999999991</v>
      </c>
      <c r="T79" s="219">
        <v>4.76</v>
      </c>
      <c r="U79" s="219">
        <f t="shared" si="156"/>
        <v>6.1099999999999977</v>
      </c>
      <c r="V79" s="219">
        <v>4.49</v>
      </c>
      <c r="W79" s="219">
        <f t="shared" si="157"/>
        <v>5.75</v>
      </c>
      <c r="X79" s="219">
        <v>4.28</v>
      </c>
      <c r="Y79" s="219">
        <f t="shared" si="158"/>
        <v>5.5400000000000045</v>
      </c>
      <c r="Z79" s="611">
        <v>4.0999999999999996</v>
      </c>
      <c r="AA79" s="23"/>
      <c r="AB79" s="23"/>
      <c r="AC79" s="23"/>
      <c r="AD79" s="23"/>
      <c r="AE79" s="23"/>
      <c r="AF79" s="23"/>
      <c r="AG79" s="23"/>
      <c r="AH79" s="23"/>
      <c r="AI79" s="115"/>
      <c r="AJ79" s="8"/>
      <c r="AP79" s="616" t="s">
        <v>249</v>
      </c>
      <c r="AQ79" s="222">
        <v>8.35</v>
      </c>
      <c r="AR79" s="219">
        <f t="shared" si="159"/>
        <v>11.069999999999999</v>
      </c>
      <c r="AS79" s="219">
        <v>6.99</v>
      </c>
      <c r="AT79" s="219">
        <f t="shared" si="160"/>
        <v>9.57</v>
      </c>
      <c r="AU79" s="219">
        <v>6.13</v>
      </c>
      <c r="AV79" s="219">
        <f t="shared" si="161"/>
        <v>8.5299999999999976</v>
      </c>
      <c r="AW79" s="219">
        <v>5.53</v>
      </c>
      <c r="AX79" s="219">
        <f t="shared" si="162"/>
        <v>7.7800000000000011</v>
      </c>
      <c r="AY79" s="219">
        <v>5.08</v>
      </c>
      <c r="AZ79" s="219">
        <f t="shared" si="163"/>
        <v>7.240000000000002</v>
      </c>
      <c r="BA79" s="219">
        <v>4.72</v>
      </c>
      <c r="BB79" s="219">
        <f t="shared" si="164"/>
        <v>6.75</v>
      </c>
      <c r="BC79" s="611">
        <v>4.43</v>
      </c>
      <c r="BD79" s="23"/>
      <c r="BE79" s="23"/>
      <c r="BF79" s="23"/>
      <c r="BG79" s="23"/>
      <c r="BH79" s="23"/>
      <c r="BI79" s="23"/>
      <c r="BJ79" s="23"/>
      <c r="BK79" s="23"/>
      <c r="BL79" s="18"/>
      <c r="BM79" s="8"/>
      <c r="BS79" s="616" t="s">
        <v>249</v>
      </c>
      <c r="BT79" s="222">
        <v>9.5</v>
      </c>
      <c r="BU79" s="219">
        <f t="shared" si="165"/>
        <v>12.6</v>
      </c>
      <c r="BV79" s="219">
        <v>7.95</v>
      </c>
      <c r="BW79" s="219">
        <f t="shared" si="166"/>
        <v>10.89</v>
      </c>
      <c r="BX79" s="219">
        <v>6.97</v>
      </c>
      <c r="BY79" s="219">
        <f t="shared" si="167"/>
        <v>9.7299999999999969</v>
      </c>
      <c r="BZ79" s="219">
        <v>6.28</v>
      </c>
      <c r="CA79" s="219">
        <f t="shared" si="168"/>
        <v>8.8800000000000026</v>
      </c>
      <c r="CB79" s="219">
        <v>5.76</v>
      </c>
      <c r="CC79" s="219">
        <f t="shared" si="169"/>
        <v>8.1599999999999966</v>
      </c>
      <c r="CD79" s="219">
        <v>5.36</v>
      </c>
      <c r="CE79" s="219">
        <f t="shared" si="170"/>
        <v>7.7400000000000055</v>
      </c>
      <c r="CF79" s="611">
        <v>5.0199999999999996</v>
      </c>
      <c r="CG79" s="23"/>
      <c r="CH79" s="23"/>
      <c r="CI79" s="23"/>
      <c r="CJ79" s="23"/>
      <c r="CK79" s="23"/>
      <c r="CL79" s="23"/>
      <c r="CM79" s="23"/>
      <c r="CN79" s="18"/>
      <c r="CO79" s="18"/>
    </row>
    <row r="80" spans="7:93" x14ac:dyDescent="0.25">
      <c r="M80" s="216" t="s">
        <v>451</v>
      </c>
      <c r="N80" s="610">
        <v>4.09</v>
      </c>
      <c r="O80" s="219">
        <f t="shared" si="153"/>
        <v>5.09</v>
      </c>
      <c r="P80" s="219">
        <v>3.59</v>
      </c>
      <c r="Q80" s="219">
        <f t="shared" si="154"/>
        <v>4.58</v>
      </c>
      <c r="R80" s="219">
        <v>3.26</v>
      </c>
      <c r="S80" s="219">
        <f t="shared" si="155"/>
        <v>4.18</v>
      </c>
      <c r="T80" s="219">
        <v>3.03</v>
      </c>
      <c r="U80" s="219">
        <f t="shared" si="156"/>
        <v>3.9299999999999984</v>
      </c>
      <c r="V80" s="219">
        <v>2.85</v>
      </c>
      <c r="W80" s="219">
        <f t="shared" si="157"/>
        <v>3.6900000000000008</v>
      </c>
      <c r="X80" s="219">
        <v>2.71</v>
      </c>
      <c r="Y80" s="219">
        <f t="shared" si="158"/>
        <v>3.5500000000000007</v>
      </c>
      <c r="Z80" s="611">
        <v>2.59</v>
      </c>
      <c r="AA80" s="23"/>
      <c r="AB80" s="23"/>
      <c r="AC80" s="23"/>
      <c r="AD80" s="23"/>
      <c r="AE80" s="23"/>
      <c r="AF80" s="23"/>
      <c r="AG80" s="23"/>
      <c r="AH80" s="23"/>
      <c r="AI80" s="115"/>
      <c r="AJ80" s="8"/>
      <c r="AP80" s="216" t="s">
        <v>451</v>
      </c>
      <c r="AQ80" s="222">
        <v>4.83</v>
      </c>
      <c r="AR80" s="219">
        <f t="shared" si="159"/>
        <v>6.57</v>
      </c>
      <c r="AS80" s="219">
        <v>3.96</v>
      </c>
      <c r="AT80" s="219">
        <f t="shared" si="160"/>
        <v>5.5499999999999989</v>
      </c>
      <c r="AU80" s="219">
        <v>3.43</v>
      </c>
      <c r="AV80" s="219">
        <f t="shared" si="161"/>
        <v>4.870000000000001</v>
      </c>
      <c r="AW80" s="219">
        <v>3.07</v>
      </c>
      <c r="AX80" s="219">
        <f t="shared" si="162"/>
        <v>4.3699999999999992</v>
      </c>
      <c r="AY80" s="219">
        <v>2.81</v>
      </c>
      <c r="AZ80" s="219">
        <f t="shared" si="163"/>
        <v>4.07</v>
      </c>
      <c r="BA80" s="219">
        <v>2.6</v>
      </c>
      <c r="BB80" s="219">
        <f t="shared" si="164"/>
        <v>3.7899999999999996</v>
      </c>
      <c r="BC80" s="611">
        <v>2.4300000000000002</v>
      </c>
      <c r="BD80" s="23"/>
      <c r="BE80" s="23"/>
      <c r="BF80" s="23"/>
      <c r="BG80" s="23"/>
      <c r="BH80" s="23"/>
      <c r="BI80" s="23"/>
      <c r="BJ80" s="23"/>
      <c r="BK80" s="23"/>
      <c r="BL80" s="18"/>
      <c r="BM80" s="8"/>
      <c r="BS80" s="216" t="s">
        <v>451</v>
      </c>
      <c r="BT80" s="222">
        <v>5.48</v>
      </c>
      <c r="BU80" s="219">
        <f t="shared" si="165"/>
        <v>7.4600000000000009</v>
      </c>
      <c r="BV80" s="219">
        <v>4.49</v>
      </c>
      <c r="BW80" s="219">
        <f t="shared" si="166"/>
        <v>6.2900000000000009</v>
      </c>
      <c r="BX80" s="219">
        <v>3.89</v>
      </c>
      <c r="BY80" s="219">
        <f t="shared" si="167"/>
        <v>5.49</v>
      </c>
      <c r="BZ80" s="219">
        <v>3.49</v>
      </c>
      <c r="CA80" s="219">
        <f t="shared" si="168"/>
        <v>4.990000000000002</v>
      </c>
      <c r="CB80" s="219">
        <v>3.19</v>
      </c>
      <c r="CC80" s="219">
        <f t="shared" si="169"/>
        <v>4.629999999999999</v>
      </c>
      <c r="CD80" s="219">
        <v>2.95</v>
      </c>
      <c r="CE80" s="219">
        <f t="shared" si="170"/>
        <v>4.2800000000000029</v>
      </c>
      <c r="CF80" s="611">
        <v>2.76</v>
      </c>
      <c r="CG80" s="23"/>
      <c r="CH80" s="23"/>
      <c r="CI80" s="23"/>
      <c r="CJ80" s="23"/>
      <c r="CK80" s="23"/>
      <c r="CL80" s="23"/>
      <c r="CM80" s="23"/>
      <c r="CN80" s="18"/>
      <c r="CO80" s="18"/>
    </row>
    <row r="81" spans="13:93" x14ac:dyDescent="0.25">
      <c r="M81" s="218" t="s">
        <v>452</v>
      </c>
      <c r="N81" s="610">
        <v>5.25</v>
      </c>
      <c r="O81" s="219">
        <f t="shared" si="153"/>
        <v>6.49</v>
      </c>
      <c r="P81" s="219">
        <v>4.63</v>
      </c>
      <c r="Q81" s="219">
        <f t="shared" si="154"/>
        <v>5.86</v>
      </c>
      <c r="R81" s="219">
        <v>4.22</v>
      </c>
      <c r="S81" s="219">
        <f t="shared" si="155"/>
        <v>5.3799999999999981</v>
      </c>
      <c r="T81" s="219">
        <v>3.93</v>
      </c>
      <c r="U81" s="219">
        <f t="shared" si="156"/>
        <v>5.08</v>
      </c>
      <c r="V81" s="219">
        <v>3.7</v>
      </c>
      <c r="W81" s="219">
        <f t="shared" si="157"/>
        <v>4.7800000000000011</v>
      </c>
      <c r="X81" s="219">
        <v>3.52</v>
      </c>
      <c r="Y81" s="219">
        <f t="shared" si="158"/>
        <v>4.5699999999999994</v>
      </c>
      <c r="Z81" s="611">
        <v>3.37</v>
      </c>
      <c r="AA81" s="23"/>
      <c r="AB81" s="23"/>
      <c r="AC81" s="23"/>
      <c r="AD81" s="23"/>
      <c r="AE81" s="23"/>
      <c r="AF81" s="23"/>
      <c r="AG81" s="23"/>
      <c r="AH81" s="23"/>
      <c r="AP81" s="218" t="s">
        <v>452</v>
      </c>
      <c r="AQ81" s="222">
        <v>6.2</v>
      </c>
      <c r="AR81" s="219">
        <f t="shared" si="159"/>
        <v>8.36</v>
      </c>
      <c r="AS81" s="219">
        <v>5.12</v>
      </c>
      <c r="AT81" s="219">
        <f t="shared" si="160"/>
        <v>7.1000000000000005</v>
      </c>
      <c r="AU81" s="219">
        <v>4.46</v>
      </c>
      <c r="AV81" s="219">
        <f t="shared" si="161"/>
        <v>6.3</v>
      </c>
      <c r="AW81" s="219">
        <v>4</v>
      </c>
      <c r="AX81" s="219">
        <f t="shared" si="162"/>
        <v>5.6999999999999993</v>
      </c>
      <c r="AY81" s="219">
        <v>3.66</v>
      </c>
      <c r="AZ81" s="219">
        <f t="shared" si="163"/>
        <v>5.2200000000000015</v>
      </c>
      <c r="BA81" s="219">
        <v>3.4</v>
      </c>
      <c r="BB81" s="219">
        <f t="shared" si="164"/>
        <v>4.9399999999999977</v>
      </c>
      <c r="BC81" s="611">
        <v>3.18</v>
      </c>
      <c r="BD81" s="23"/>
      <c r="BE81" s="23"/>
      <c r="BF81" s="23"/>
      <c r="BG81" s="23"/>
      <c r="BH81" s="23"/>
      <c r="BI81" s="23"/>
      <c r="BJ81" s="23"/>
      <c r="BK81" s="23"/>
      <c r="BL81" s="18"/>
      <c r="BS81" s="218" t="s">
        <v>452</v>
      </c>
      <c r="BT81" s="222">
        <v>7.05</v>
      </c>
      <c r="BU81" s="219">
        <f t="shared" si="165"/>
        <v>9.5300000000000011</v>
      </c>
      <c r="BV81" s="219">
        <v>5.81</v>
      </c>
      <c r="BW81" s="219">
        <f t="shared" si="166"/>
        <v>8.0599999999999987</v>
      </c>
      <c r="BX81" s="219">
        <v>5.0599999999999996</v>
      </c>
      <c r="BY81" s="219">
        <f t="shared" si="167"/>
        <v>7.1399999999999979</v>
      </c>
      <c r="BZ81" s="219">
        <v>4.54</v>
      </c>
      <c r="CA81" s="219">
        <f t="shared" si="168"/>
        <v>6.4899999999999984</v>
      </c>
      <c r="CB81" s="219">
        <v>4.1500000000000004</v>
      </c>
      <c r="CC81" s="219">
        <f t="shared" si="169"/>
        <v>5.950000000000002</v>
      </c>
      <c r="CD81" s="219">
        <v>3.85</v>
      </c>
      <c r="CE81" s="219">
        <f t="shared" si="170"/>
        <v>5.5300000000000011</v>
      </c>
      <c r="CF81" s="611">
        <v>3.61</v>
      </c>
      <c r="CG81" s="23"/>
      <c r="CH81" s="23"/>
      <c r="CI81" s="23"/>
      <c r="CJ81" s="23"/>
      <c r="CK81" s="23"/>
      <c r="CL81" s="23"/>
      <c r="CM81" s="23"/>
      <c r="CN81" s="18"/>
      <c r="CO81" s="18"/>
    </row>
    <row r="82" spans="13:93" ht="13" thickBot="1" x14ac:dyDescent="0.3">
      <c r="M82" s="617" t="s">
        <v>453</v>
      </c>
      <c r="N82" s="612">
        <v>5.75</v>
      </c>
      <c r="O82" s="613">
        <f t="shared" si="153"/>
        <v>7.09</v>
      </c>
      <c r="P82" s="613">
        <v>5.08</v>
      </c>
      <c r="Q82" s="613">
        <f t="shared" si="154"/>
        <v>6.4000000000000012</v>
      </c>
      <c r="R82" s="613">
        <v>4.6399999999999997</v>
      </c>
      <c r="S82" s="613">
        <f t="shared" si="155"/>
        <v>5.9199999999999973</v>
      </c>
      <c r="T82" s="613">
        <v>4.32</v>
      </c>
      <c r="U82" s="613">
        <f t="shared" si="156"/>
        <v>5.5200000000000014</v>
      </c>
      <c r="V82" s="613">
        <v>4.08</v>
      </c>
      <c r="W82" s="613">
        <f t="shared" si="157"/>
        <v>5.2800000000000011</v>
      </c>
      <c r="X82" s="613">
        <v>3.88</v>
      </c>
      <c r="Y82" s="613">
        <f t="shared" si="158"/>
        <v>5.0699999999999994</v>
      </c>
      <c r="Z82" s="614">
        <v>3.71</v>
      </c>
      <c r="AA82" s="18"/>
      <c r="AB82" s="18"/>
      <c r="AC82" s="18"/>
      <c r="AD82" s="18"/>
      <c r="AE82" s="18"/>
      <c r="AF82" s="18"/>
      <c r="AG82" s="18"/>
      <c r="AH82" s="18"/>
      <c r="AP82" s="617" t="s">
        <v>453</v>
      </c>
      <c r="AQ82" s="224">
        <v>7.12</v>
      </c>
      <c r="AR82" s="613">
        <f t="shared" si="159"/>
        <v>9.5599999999999987</v>
      </c>
      <c r="AS82" s="613">
        <v>5.9</v>
      </c>
      <c r="AT82" s="613">
        <f t="shared" si="160"/>
        <v>8.15</v>
      </c>
      <c r="AU82" s="613">
        <v>5.15</v>
      </c>
      <c r="AV82" s="613">
        <f t="shared" si="161"/>
        <v>7.2300000000000022</v>
      </c>
      <c r="AW82" s="613">
        <v>4.63</v>
      </c>
      <c r="AX82" s="613">
        <f t="shared" si="162"/>
        <v>6.5799999999999983</v>
      </c>
      <c r="AY82" s="613">
        <v>4.24</v>
      </c>
      <c r="AZ82" s="613">
        <f t="shared" si="163"/>
        <v>6.1000000000000005</v>
      </c>
      <c r="BA82" s="613">
        <v>3.93</v>
      </c>
      <c r="BB82" s="613">
        <f t="shared" si="164"/>
        <v>5.68</v>
      </c>
      <c r="BC82" s="614">
        <v>3.68</v>
      </c>
      <c r="BD82" s="18"/>
      <c r="BE82" s="18"/>
      <c r="BF82" s="18"/>
      <c r="BG82" s="18"/>
      <c r="BH82" s="18"/>
      <c r="BI82" s="18"/>
      <c r="BJ82" s="18"/>
      <c r="BK82" s="18"/>
      <c r="BL82" s="18"/>
      <c r="BS82" s="617" t="s">
        <v>453</v>
      </c>
      <c r="BT82" s="224">
        <v>8.09</v>
      </c>
      <c r="BU82" s="613">
        <f t="shared" si="165"/>
        <v>10.87</v>
      </c>
      <c r="BV82" s="613">
        <v>6.7</v>
      </c>
      <c r="BW82" s="613">
        <f t="shared" si="166"/>
        <v>9.2500000000000018</v>
      </c>
      <c r="BX82" s="613">
        <v>5.85</v>
      </c>
      <c r="BY82" s="613">
        <f t="shared" si="167"/>
        <v>8.2499999999999982</v>
      </c>
      <c r="BZ82" s="613">
        <v>5.25</v>
      </c>
      <c r="CA82" s="613">
        <f t="shared" si="168"/>
        <v>7.450000000000002</v>
      </c>
      <c r="CB82" s="613">
        <v>4.8099999999999996</v>
      </c>
      <c r="CC82" s="613">
        <f t="shared" si="169"/>
        <v>6.9099999999999975</v>
      </c>
      <c r="CD82" s="613">
        <v>4.46</v>
      </c>
      <c r="CE82" s="613">
        <f t="shared" si="170"/>
        <v>6.4200000000000017</v>
      </c>
      <c r="CF82" s="614">
        <v>4.18</v>
      </c>
      <c r="CG82" s="18"/>
      <c r="CH82" s="18"/>
      <c r="CI82" s="18"/>
      <c r="CJ82" s="18"/>
      <c r="CK82" s="18"/>
      <c r="CL82" s="18"/>
      <c r="CM82" s="18"/>
      <c r="CN82" s="18"/>
      <c r="CO82" s="18"/>
    </row>
    <row r="83" spans="13:93" x14ac:dyDescent="0.25">
      <c r="M83" s="216" t="s">
        <v>494</v>
      </c>
      <c r="N83" s="610">
        <v>6.21</v>
      </c>
      <c r="O83" s="219">
        <f t="shared" si="153"/>
        <v>7.69</v>
      </c>
      <c r="P83" s="219">
        <v>5.47</v>
      </c>
      <c r="Q83" s="219">
        <f t="shared" si="154"/>
        <v>6.879999999999999</v>
      </c>
      <c r="R83" s="219">
        <v>5</v>
      </c>
      <c r="S83" s="219">
        <f t="shared" si="155"/>
        <v>6.3599999999999994</v>
      </c>
      <c r="T83" s="219">
        <v>4.66</v>
      </c>
      <c r="U83" s="219">
        <f t="shared" si="156"/>
        <v>5.9599999999999991</v>
      </c>
      <c r="V83" s="219">
        <v>4.4000000000000004</v>
      </c>
      <c r="W83" s="219">
        <f t="shared" si="157"/>
        <v>5.66</v>
      </c>
      <c r="X83" s="219">
        <v>4.1900000000000004</v>
      </c>
      <c r="Y83" s="219">
        <f t="shared" si="158"/>
        <v>5.3800000000000061</v>
      </c>
      <c r="Z83" s="611">
        <v>4.0199999999999996</v>
      </c>
      <c r="AA83" s="315"/>
      <c r="AB83" s="315"/>
      <c r="AC83" s="315"/>
      <c r="AD83" s="315"/>
      <c r="AE83" s="315"/>
      <c r="AF83" s="315"/>
      <c r="AG83" s="315"/>
      <c r="AH83" s="315"/>
      <c r="AI83" s="115"/>
      <c r="AJ83" s="214" t="s">
        <v>277</v>
      </c>
      <c r="AK83" s="215">
        <f>AR88</f>
        <v>5.64</v>
      </c>
      <c r="AP83" s="216" t="s">
        <v>494</v>
      </c>
      <c r="AQ83" s="222">
        <v>7.26</v>
      </c>
      <c r="AR83" s="219">
        <f t="shared" si="159"/>
        <v>9.6199999999999992</v>
      </c>
      <c r="AS83" s="219">
        <v>6.08</v>
      </c>
      <c r="AT83" s="219">
        <f t="shared" si="160"/>
        <v>8.39</v>
      </c>
      <c r="AU83" s="219">
        <v>5.31</v>
      </c>
      <c r="AV83" s="219">
        <f t="shared" si="161"/>
        <v>7.4299999999999971</v>
      </c>
      <c r="AW83" s="219">
        <v>4.78</v>
      </c>
      <c r="AX83" s="219">
        <f t="shared" si="162"/>
        <v>6.7300000000000031</v>
      </c>
      <c r="AY83" s="219">
        <v>4.3899999999999997</v>
      </c>
      <c r="AZ83" s="219">
        <f t="shared" si="163"/>
        <v>6.2499999999999973</v>
      </c>
      <c r="BA83" s="219">
        <v>4.08</v>
      </c>
      <c r="BB83" s="219">
        <f t="shared" si="164"/>
        <v>5.83</v>
      </c>
      <c r="BC83" s="611">
        <v>3.83</v>
      </c>
      <c r="BD83" s="18"/>
      <c r="BE83" s="18"/>
      <c r="BF83" s="18"/>
      <c r="BG83" s="18"/>
      <c r="BH83" s="18"/>
      <c r="BI83" s="18"/>
      <c r="BJ83" s="18"/>
      <c r="BK83" s="18"/>
      <c r="BL83" s="18"/>
      <c r="BM83" s="214" t="s">
        <v>279</v>
      </c>
      <c r="BN83" s="215">
        <f>BU88</f>
        <v>6.38</v>
      </c>
      <c r="BS83" s="216" t="s">
        <v>494</v>
      </c>
      <c r="BT83" s="222">
        <v>8.33</v>
      </c>
      <c r="BU83" s="219">
        <f t="shared" si="165"/>
        <v>11.23</v>
      </c>
      <c r="BV83" s="219">
        <v>6.88</v>
      </c>
      <c r="BW83" s="219">
        <f t="shared" si="166"/>
        <v>9.52</v>
      </c>
      <c r="BX83" s="219">
        <v>6</v>
      </c>
      <c r="BY83" s="219">
        <f t="shared" si="167"/>
        <v>8.3999999999999986</v>
      </c>
      <c r="BZ83" s="219">
        <v>5.4</v>
      </c>
      <c r="CA83" s="219">
        <f t="shared" si="168"/>
        <v>7.6500000000000012</v>
      </c>
      <c r="CB83" s="219">
        <v>4.95</v>
      </c>
      <c r="CC83" s="219">
        <f t="shared" si="169"/>
        <v>7.0500000000000034</v>
      </c>
      <c r="CD83" s="219">
        <v>4.5999999999999996</v>
      </c>
      <c r="CE83" s="219">
        <f t="shared" si="170"/>
        <v>6.5599999999999952</v>
      </c>
      <c r="CF83" s="611">
        <v>4.32</v>
      </c>
      <c r="CG83" s="18"/>
      <c r="CH83" s="18"/>
      <c r="CI83" s="18"/>
      <c r="CJ83" s="18"/>
      <c r="CK83" s="18"/>
      <c r="CL83" s="18"/>
      <c r="CM83" s="18"/>
    </row>
    <row r="84" spans="13:93" ht="15.5" x14ac:dyDescent="0.25">
      <c r="M84" s="218" t="s">
        <v>495</v>
      </c>
      <c r="N84" s="610">
        <v>6.96</v>
      </c>
      <c r="O84" s="219">
        <f t="shared" si="153"/>
        <v>8.5599999999999987</v>
      </c>
      <c r="P84" s="219">
        <v>6.16</v>
      </c>
      <c r="Q84" s="219">
        <f t="shared" si="154"/>
        <v>7.7200000000000015</v>
      </c>
      <c r="R84" s="219">
        <v>5.64</v>
      </c>
      <c r="S84" s="219">
        <f t="shared" si="155"/>
        <v>7.12</v>
      </c>
      <c r="T84" s="219">
        <v>5.27</v>
      </c>
      <c r="U84" s="219">
        <f t="shared" si="156"/>
        <v>6.7199999999999953</v>
      </c>
      <c r="V84" s="219">
        <v>4.9800000000000004</v>
      </c>
      <c r="W84" s="219">
        <f t="shared" si="157"/>
        <v>6.360000000000003</v>
      </c>
      <c r="X84" s="219">
        <v>4.75</v>
      </c>
      <c r="Y84" s="219">
        <f t="shared" si="158"/>
        <v>6.1500000000000012</v>
      </c>
      <c r="Z84" s="611">
        <v>4.55</v>
      </c>
      <c r="AA84" s="315"/>
      <c r="AB84" s="315"/>
      <c r="AC84" s="315"/>
      <c r="AD84" s="315"/>
      <c r="AE84" s="315"/>
      <c r="AF84" s="315"/>
      <c r="AG84" s="315"/>
      <c r="AH84" s="315"/>
      <c r="AI84" s="115"/>
      <c r="AJ84" s="214" t="s">
        <v>278</v>
      </c>
      <c r="AK84" s="215">
        <f>AK83*AK72*AK73*AK74*AK75*AK76*AK77</f>
        <v>5.1088247999999998</v>
      </c>
      <c r="AP84" s="218" t="s">
        <v>495</v>
      </c>
      <c r="AQ84" s="222">
        <v>8.59</v>
      </c>
      <c r="AR84" s="219">
        <f t="shared" si="159"/>
        <v>11.469999999999999</v>
      </c>
      <c r="AS84" s="219">
        <v>7.15</v>
      </c>
      <c r="AT84" s="219">
        <f t="shared" si="160"/>
        <v>9.8200000000000021</v>
      </c>
      <c r="AU84" s="219">
        <v>6.26</v>
      </c>
      <c r="AV84" s="219">
        <f t="shared" si="161"/>
        <v>8.74</v>
      </c>
      <c r="AW84" s="219">
        <v>5.64</v>
      </c>
      <c r="AX84" s="219">
        <f t="shared" si="162"/>
        <v>7.9399999999999995</v>
      </c>
      <c r="AY84" s="219">
        <v>5.18</v>
      </c>
      <c r="AZ84" s="219">
        <f t="shared" si="163"/>
        <v>7.3399999999999963</v>
      </c>
      <c r="BA84" s="219">
        <v>4.82</v>
      </c>
      <c r="BB84" s="219">
        <f t="shared" si="164"/>
        <v>6.8500000000000005</v>
      </c>
      <c r="BC84" s="611">
        <v>4.53</v>
      </c>
      <c r="BM84" s="214" t="s">
        <v>280</v>
      </c>
      <c r="BN84" s="215">
        <f>BN83*BN72*BN73*BN74*BN75*BN76*BN77</f>
        <v>59334</v>
      </c>
      <c r="BS84" s="218" t="s">
        <v>495</v>
      </c>
      <c r="BT84" s="222">
        <v>9.74</v>
      </c>
      <c r="BU84" s="219">
        <f t="shared" si="165"/>
        <v>13.040000000000001</v>
      </c>
      <c r="BV84" s="219">
        <v>8.09</v>
      </c>
      <c r="BW84" s="219">
        <f t="shared" si="166"/>
        <v>11.12</v>
      </c>
      <c r="BX84" s="219">
        <v>7.08</v>
      </c>
      <c r="BY84" s="219">
        <f t="shared" si="167"/>
        <v>9.8800000000000008</v>
      </c>
      <c r="BZ84" s="219">
        <v>6.38</v>
      </c>
      <c r="CA84" s="219">
        <f t="shared" si="168"/>
        <v>9.0300000000000011</v>
      </c>
      <c r="CB84" s="219">
        <v>5.85</v>
      </c>
      <c r="CC84" s="219">
        <f t="shared" si="169"/>
        <v>8.3099999999999952</v>
      </c>
      <c r="CD84" s="219">
        <v>5.44</v>
      </c>
      <c r="CE84" s="219">
        <f t="shared" si="170"/>
        <v>7.7500000000000009</v>
      </c>
      <c r="CF84" s="611">
        <v>5.1100000000000003</v>
      </c>
      <c r="CG84" s="18"/>
      <c r="CH84" s="18"/>
      <c r="CI84" s="18"/>
      <c r="CJ84" s="18"/>
      <c r="CK84" s="18"/>
      <c r="CL84" s="18"/>
      <c r="CM84" s="18"/>
    </row>
    <row r="85" spans="13:93" ht="13" thickBot="1" x14ac:dyDescent="0.3">
      <c r="M85" s="617" t="s">
        <v>496</v>
      </c>
      <c r="N85" s="612">
        <v>7.22</v>
      </c>
      <c r="O85" s="613">
        <f t="shared" si="153"/>
        <v>8.84</v>
      </c>
      <c r="P85" s="613">
        <v>6.41</v>
      </c>
      <c r="Q85" s="613">
        <f t="shared" si="154"/>
        <v>8</v>
      </c>
      <c r="R85" s="613">
        <v>5.88</v>
      </c>
      <c r="S85" s="613">
        <f t="shared" si="155"/>
        <v>7.4399999999999986</v>
      </c>
      <c r="T85" s="613">
        <v>5.49</v>
      </c>
      <c r="U85" s="613">
        <f t="shared" si="156"/>
        <v>6.94</v>
      </c>
      <c r="V85" s="613">
        <v>5.2</v>
      </c>
      <c r="W85" s="613">
        <f t="shared" si="157"/>
        <v>6.6400000000000015</v>
      </c>
      <c r="X85" s="613">
        <v>4.96</v>
      </c>
      <c r="Y85" s="613">
        <f t="shared" si="158"/>
        <v>6.43</v>
      </c>
      <c r="Z85" s="614">
        <v>4.75</v>
      </c>
      <c r="AA85" s="18"/>
      <c r="AB85" s="18"/>
      <c r="AC85" s="18"/>
      <c r="AD85" s="18"/>
      <c r="AE85" s="18"/>
      <c r="AF85" s="18"/>
      <c r="AG85" s="18"/>
      <c r="AH85" s="18"/>
      <c r="AP85" s="617" t="s">
        <v>496</v>
      </c>
      <c r="AQ85" s="224">
        <v>9.1</v>
      </c>
      <c r="AR85" s="613">
        <f t="shared" si="159"/>
        <v>12.12</v>
      </c>
      <c r="AS85" s="613">
        <v>7.59</v>
      </c>
      <c r="AT85" s="613">
        <f t="shared" si="160"/>
        <v>10.379999999999999</v>
      </c>
      <c r="AU85" s="613">
        <v>6.66</v>
      </c>
      <c r="AV85" s="613">
        <f t="shared" si="161"/>
        <v>9.2600000000000016</v>
      </c>
      <c r="AW85" s="613">
        <v>6.01</v>
      </c>
      <c r="AX85" s="613">
        <f t="shared" si="162"/>
        <v>8.4600000000000009</v>
      </c>
      <c r="AY85" s="613">
        <v>5.52</v>
      </c>
      <c r="AZ85" s="613">
        <f t="shared" si="163"/>
        <v>7.7999999999999989</v>
      </c>
      <c r="BA85" s="613">
        <v>5.14</v>
      </c>
      <c r="BB85" s="613">
        <f t="shared" si="164"/>
        <v>7.3099999999999969</v>
      </c>
      <c r="BC85" s="614">
        <v>4.83</v>
      </c>
      <c r="BS85" s="617" t="s">
        <v>496</v>
      </c>
      <c r="BT85" s="224">
        <v>10.31</v>
      </c>
      <c r="BU85" s="613">
        <f t="shared" si="165"/>
        <v>13.730000000000002</v>
      </c>
      <c r="BV85" s="613">
        <v>8.6</v>
      </c>
      <c r="BW85" s="613">
        <f t="shared" si="166"/>
        <v>11.779999999999998</v>
      </c>
      <c r="BX85" s="613">
        <v>7.54</v>
      </c>
      <c r="BY85" s="613">
        <f t="shared" si="167"/>
        <v>10.5</v>
      </c>
      <c r="BZ85" s="613">
        <v>6.8</v>
      </c>
      <c r="CA85" s="613">
        <f t="shared" si="168"/>
        <v>9.5999999999999979</v>
      </c>
      <c r="CB85" s="613">
        <v>6.24</v>
      </c>
      <c r="CC85" s="613">
        <f t="shared" si="169"/>
        <v>8.8200000000000038</v>
      </c>
      <c r="CD85" s="613">
        <v>5.81</v>
      </c>
      <c r="CE85" s="613">
        <f t="shared" si="170"/>
        <v>8.259999999999998</v>
      </c>
      <c r="CF85" s="614">
        <v>5.46</v>
      </c>
      <c r="CG85" s="18"/>
      <c r="CH85" s="18"/>
      <c r="CI85" s="18"/>
      <c r="CJ85" s="18"/>
      <c r="CK85" s="18"/>
      <c r="CL85" s="18"/>
      <c r="CM85" s="18"/>
    </row>
    <row r="87" spans="13:93" ht="15.5" x14ac:dyDescent="0.25">
      <c r="M87" s="214" t="s">
        <v>252</v>
      </c>
      <c r="N87" s="213" t="s">
        <v>81</v>
      </c>
      <c r="O87" s="225" t="s">
        <v>82</v>
      </c>
      <c r="AP87" s="214" t="s">
        <v>260</v>
      </c>
      <c r="AQ87" s="213" t="s">
        <v>81</v>
      </c>
      <c r="AR87" s="225" t="s">
        <v>82</v>
      </c>
      <c r="BS87" s="214" t="s">
        <v>268</v>
      </c>
      <c r="BT87" s="213" t="s">
        <v>81</v>
      </c>
      <c r="BU87" s="225" t="s">
        <v>82</v>
      </c>
    </row>
    <row r="88" spans="13:93" x14ac:dyDescent="0.25">
      <c r="M88" s="213">
        <f>IF($D$40="","",MATCH($D$40,M72:M85))</f>
        <v>13</v>
      </c>
      <c r="N88" s="213">
        <f>IF($D$39="","",MATCH($D$38,$N$71:$Z$71,0))</f>
        <v>7</v>
      </c>
      <c r="O88" s="226">
        <f>IF(OR($D$40="",$D$39=""),0,INDEX(N72:Z85,M88,N88))</f>
        <v>5.27</v>
      </c>
      <c r="AP88" s="213">
        <f>IF($D$40="","",MATCH($D$40,AP72:AP85))</f>
        <v>13</v>
      </c>
      <c r="AQ88" s="213">
        <f>IF($D$39="","",MATCH($D$38,AQ71:BC71,0))</f>
        <v>7</v>
      </c>
      <c r="AR88" s="226">
        <f>IF(OR($D$40="",$D$39=""),0,INDEX(AQ72:BC85,AP88,AQ88))</f>
        <v>5.64</v>
      </c>
      <c r="BS88" s="213">
        <f>IF($D$40="","",MATCH($D$40,BS72:BS85))</f>
        <v>13</v>
      </c>
      <c r="BT88" s="213">
        <f>IF($D$39="","",MATCH($D$38,BT71:CF71,0))</f>
        <v>7</v>
      </c>
      <c r="BU88" s="226">
        <f>IF(OR($D$40="",$D$39=""),0,INDEX(BT72:CF85,BS88,BT88))</f>
        <v>6.38</v>
      </c>
    </row>
  </sheetData>
  <sheetProtection sheet="1" objects="1" scenarios="1"/>
  <mergeCells count="4">
    <mergeCell ref="G65:H65"/>
    <mergeCell ref="G28:H28"/>
    <mergeCell ref="G1:H1"/>
    <mergeCell ref="G50:H50"/>
  </mergeCells>
  <phoneticPr fontId="10" type="noConversion"/>
  <dataValidations count="4">
    <dataValidation type="list" allowBlank="1" showInputMessage="1" showErrorMessage="1" sqref="D11">
      <formula1>$M$2:$M$25</formula1>
    </dataValidation>
    <dataValidation type="list" allowBlank="1" showInputMessage="1" showErrorMessage="1" sqref="D19">
      <formula1>$M$32:$M$49</formula1>
    </dataValidation>
    <dataValidation type="list" allowBlank="1" showInputMessage="1" showErrorMessage="1" sqref="D40">
      <formula1>$M$72:$M$85</formula1>
    </dataValidation>
    <dataValidation type="list" allowBlank="1" showInputMessage="1" showErrorMessage="1" sqref="D26">
      <formula1>$M$57:$M$67</formula1>
    </dataValidation>
  </dataValidations>
  <hyperlinks>
    <hyperlink ref="E13" location="Info!A1" display="'Info"/>
    <hyperlink ref="E27" location="Info!A1" display="'Info"/>
    <hyperlink ref="E41" location="Info!A1" display="'Info"/>
  </hyperlinks>
  <printOptions horizontalCentered="1"/>
  <pageMargins left="0.19685039370078741" right="0.19685039370078741" top="0.98425196850393704" bottom="0.39370078740157483" header="0.19685039370078741" footer="0.19685039370078741"/>
  <pageSetup paperSize="9" scale="81" orientation="portrait" blackAndWhite="1" horizontalDpi="300" verticalDpi="300" r:id="rId1"/>
  <headerFooter scaleWithDoc="0" alignWithMargins="0">
    <oddHeader>&amp;C&amp;G</oddHeader>
    <oddFooter>&amp;L&amp;8Stand: Mai 2020&amp;R&amp;8&amp;D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Daten!$A$38:$A$43</xm:f>
          </x14:formula1>
          <xm:sqref>D5</xm:sqref>
        </x14:dataValidation>
        <x14:dataValidation type="list" allowBlank="1" showInputMessage="1" showErrorMessage="1">
          <x14:formula1>
            <xm:f>Daten!$A$22:$A$25</xm:f>
          </x14:formula1>
          <xm:sqref>D13 D27 D41</xm:sqref>
        </x14:dataValidation>
        <x14:dataValidation type="list" allowBlank="1" showInputMessage="1" showErrorMessage="1">
          <x14:formula1>
            <xm:f>Daten!$A$104:$A$110</xm:f>
          </x14:formula1>
          <xm:sqref>B32 B46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00B0F0"/>
  </sheetPr>
  <dimension ref="A1:F63"/>
  <sheetViews>
    <sheetView zoomScaleNormal="100" zoomScaleSheetLayoutView="100" workbookViewId="0">
      <selection activeCell="C19" sqref="C19:F19"/>
    </sheetView>
  </sheetViews>
  <sheetFormatPr baseColWidth="10" defaultColWidth="11.453125" defaultRowHeight="12.5" x14ac:dyDescent="0.25"/>
  <cols>
    <col min="1" max="1" width="33.81640625" style="536" customWidth="1"/>
    <col min="2" max="2" width="3.26953125" style="536" customWidth="1"/>
    <col min="3" max="3" width="13.54296875" style="536" customWidth="1"/>
    <col min="4" max="5" width="11.453125" style="536"/>
    <col min="6" max="6" width="13.1796875" style="536" customWidth="1"/>
    <col min="7" max="16384" width="11.453125" style="536"/>
  </cols>
  <sheetData>
    <row r="1" spans="1:6" ht="20.149999999999999" customHeight="1" x14ac:dyDescent="0.25">
      <c r="A1" s="2"/>
      <c r="B1" s="3" t="s">
        <v>44</v>
      </c>
      <c r="C1" s="4"/>
      <c r="D1" s="26">
        <f>'Ermittlung Schneelast'!D6</f>
        <v>0</v>
      </c>
      <c r="E1" s="26"/>
    </row>
    <row r="2" spans="1:6" ht="20.149999999999999" customHeight="1" x14ac:dyDescent="0.25">
      <c r="A2" s="24"/>
      <c r="B2" s="3" t="s">
        <v>45</v>
      </c>
      <c r="C2" s="4"/>
      <c r="D2" s="26">
        <f>'Ermittlung Schneelast'!D7</f>
        <v>0</v>
      </c>
      <c r="E2" s="26"/>
    </row>
    <row r="3" spans="1:6" ht="20.149999999999999" customHeight="1" x14ac:dyDescent="0.25">
      <c r="A3" s="24"/>
      <c r="B3" s="2"/>
      <c r="C3" s="2"/>
      <c r="D3" s="11"/>
      <c r="E3" s="2"/>
    </row>
    <row r="4" spans="1:6" ht="20.149999999999999" customHeight="1" x14ac:dyDescent="0.25">
      <c r="A4" s="780" t="s">
        <v>435</v>
      </c>
      <c r="B4" s="781"/>
      <c r="C4" s="781"/>
      <c r="D4" s="781"/>
      <c r="E4" s="781"/>
      <c r="F4" s="782"/>
    </row>
    <row r="5" spans="1:6" ht="20.149999999999999" customHeight="1" x14ac:dyDescent="0.25">
      <c r="A5" s="551"/>
      <c r="B5" s="551"/>
      <c r="C5" s="551"/>
      <c r="D5" s="551"/>
      <c r="E5" s="551"/>
      <c r="F5" s="551"/>
    </row>
    <row r="6" spans="1:6" ht="20.149999999999999" customHeight="1" x14ac:dyDescent="0.25">
      <c r="A6" s="552" t="s">
        <v>427</v>
      </c>
      <c r="B6" s="553"/>
      <c r="C6" s="553"/>
      <c r="D6" s="553"/>
      <c r="E6" s="553"/>
      <c r="F6" s="554"/>
    </row>
    <row r="7" spans="1:6" ht="20.149999999999999" customHeight="1" x14ac:dyDescent="0.25">
      <c r="A7" s="537" t="s">
        <v>398</v>
      </c>
      <c r="B7" s="538" t="s">
        <v>0</v>
      </c>
      <c r="C7" s="539">
        <f>'Ermittlung Schneelast'!_b2</f>
        <v>3.5</v>
      </c>
    </row>
    <row r="8" spans="1:6" ht="20.149999999999999" customHeight="1" x14ac:dyDescent="0.25">
      <c r="A8" s="537" t="s">
        <v>399</v>
      </c>
      <c r="B8" s="538" t="s">
        <v>0</v>
      </c>
      <c r="C8" s="539">
        <f>'Bemessungstabelle unisoliert'!H15</f>
        <v>3.2209600000000003</v>
      </c>
    </row>
    <row r="9" spans="1:6" ht="20.149999999999999" customHeight="1" x14ac:dyDescent="0.25">
      <c r="A9" s="537" t="s">
        <v>400</v>
      </c>
      <c r="B9" s="538" t="s">
        <v>0</v>
      </c>
      <c r="C9" s="539">
        <f>'Bemessungstabelle unisoliert'!AK22</f>
        <v>3.9349599999999998</v>
      </c>
    </row>
    <row r="10" spans="1:6" ht="20.149999999999999" customHeight="1" x14ac:dyDescent="0.25">
      <c r="A10" s="537" t="s">
        <v>401</v>
      </c>
      <c r="B10" s="538" t="s">
        <v>0</v>
      </c>
      <c r="C10" s="539">
        <f>'Bemessungstabelle unisoliert'!BN22</f>
        <v>45950.000000000007</v>
      </c>
    </row>
    <row r="11" spans="1:6" ht="20.149999999999999" customHeight="1" x14ac:dyDescent="0.25">
      <c r="A11" s="537" t="s">
        <v>402</v>
      </c>
      <c r="B11" s="537" t="s">
        <v>0</v>
      </c>
      <c r="C11" s="540">
        <f>'Bemessungstabelle unisoliert'!D16</f>
        <v>22.799993766846093</v>
      </c>
    </row>
    <row r="12" spans="1:6" ht="20.149999999999999" customHeight="1" x14ac:dyDescent="0.25">
      <c r="A12" s="537" t="s">
        <v>4</v>
      </c>
      <c r="B12" s="537" t="s">
        <v>0</v>
      </c>
      <c r="C12" s="541">
        <f>'Ermittlung Schneelast'!D18</f>
        <v>10</v>
      </c>
    </row>
    <row r="13" spans="1:6" ht="20.149999999999999" customHeight="1" x14ac:dyDescent="0.25">
      <c r="A13" s="537"/>
      <c r="B13" s="537"/>
      <c r="C13" s="541"/>
    </row>
    <row r="14" spans="1:6" ht="20.149999999999999" customHeight="1" x14ac:dyDescent="0.25">
      <c r="A14" s="555" t="s">
        <v>415</v>
      </c>
    </row>
    <row r="15" spans="1:6" ht="20.149999999999999" customHeight="1" x14ac:dyDescent="0.25">
      <c r="A15" s="537" t="s">
        <v>398</v>
      </c>
      <c r="B15" s="542" t="s">
        <v>403</v>
      </c>
      <c r="C15" s="543" t="s">
        <v>399</v>
      </c>
    </row>
    <row r="16" spans="1:6" ht="20.149999999999999" customHeight="1" x14ac:dyDescent="0.25">
      <c r="A16" s="562">
        <f>C7</f>
        <v>3.5</v>
      </c>
      <c r="B16" s="563" t="str">
        <f>IF(A16&lt;=C16,"&lt;=","&gt;")</f>
        <v>&gt;</v>
      </c>
      <c r="C16" s="564">
        <f>C8</f>
        <v>3.2209600000000003</v>
      </c>
      <c r="D16" s="563" t="str">
        <f>IF(A16&lt;=C16,"Bedingung erfüllt","Bedingung nicht erfüllt!!")</f>
        <v>Bedingung nicht erfüllt!!</v>
      </c>
      <c r="E16" s="565"/>
    </row>
    <row r="17" spans="1:6" ht="20.149999999999999" customHeight="1" x14ac:dyDescent="0.25"/>
    <row r="18" spans="1:6" ht="20.149999999999999" customHeight="1" x14ac:dyDescent="0.25">
      <c r="A18" s="555" t="s">
        <v>416</v>
      </c>
    </row>
    <row r="19" spans="1:6" ht="20.149999999999999" customHeight="1" x14ac:dyDescent="0.25">
      <c r="A19" s="545" t="s">
        <v>417</v>
      </c>
      <c r="B19" s="538" t="s">
        <v>0</v>
      </c>
      <c r="C19" s="773" t="s">
        <v>480</v>
      </c>
      <c r="D19" s="773"/>
      <c r="E19" s="773"/>
      <c r="F19" s="773"/>
    </row>
    <row r="20" spans="1:6" ht="20.149999999999999" customHeight="1" x14ac:dyDescent="0.25">
      <c r="A20" s="537" t="s">
        <v>418</v>
      </c>
      <c r="B20" s="538" t="s">
        <v>0</v>
      </c>
      <c r="C20" s="546">
        <f>VLOOKUP(C19,Daten!A79:B101,2)</f>
        <v>0.73</v>
      </c>
    </row>
    <row r="21" spans="1:6" ht="20.149999999999999" customHeight="1" x14ac:dyDescent="0.25">
      <c r="A21" s="537"/>
      <c r="B21" s="538"/>
      <c r="C21" s="546"/>
    </row>
    <row r="22" spans="1:6" ht="20.149999999999999" customHeight="1" x14ac:dyDescent="0.25">
      <c r="A22" s="537" t="s">
        <v>398</v>
      </c>
      <c r="B22" s="542" t="s">
        <v>403</v>
      </c>
      <c r="C22" s="543" t="s">
        <v>419</v>
      </c>
    </row>
    <row r="23" spans="1:6" ht="20.149999999999999" customHeight="1" x14ac:dyDescent="0.25">
      <c r="A23" s="562">
        <f>C7</f>
        <v>3.5</v>
      </c>
      <c r="B23" s="563" t="str">
        <f>IF(A23&lt;=C23,"&lt;=","&gt;")</f>
        <v>&gt;</v>
      </c>
      <c r="C23" s="564">
        <f>C9*C20</f>
        <v>2.8725207999999998</v>
      </c>
      <c r="D23" s="563" t="str">
        <f>IF(A23&lt;=C23,"Bedingung erfüllt","Bedingung nicht erfüllt!!")</f>
        <v>Bedingung nicht erfüllt!!</v>
      </c>
      <c r="E23" s="565"/>
    </row>
    <row r="24" spans="1:6" ht="20.149999999999999" customHeight="1" x14ac:dyDescent="0.25">
      <c r="A24" s="547"/>
      <c r="C24" s="544"/>
    </row>
    <row r="25" spans="1:6" ht="20.149999999999999" customHeight="1" x14ac:dyDescent="0.25">
      <c r="A25" s="537" t="s">
        <v>398</v>
      </c>
      <c r="B25" s="542" t="s">
        <v>403</v>
      </c>
      <c r="C25" s="543" t="s">
        <v>420</v>
      </c>
    </row>
    <row r="26" spans="1:6" ht="20.149999999999999" customHeight="1" x14ac:dyDescent="0.25">
      <c r="A26" s="574">
        <f>C7</f>
        <v>3.5</v>
      </c>
      <c r="B26" s="563" t="str">
        <f>IF(A26&lt;=C26,"&lt;=","&gt;")</f>
        <v>&lt;=</v>
      </c>
      <c r="C26" s="564">
        <f>C10*C20</f>
        <v>33543.500000000007</v>
      </c>
      <c r="D26" s="563" t="str">
        <f>IF(A26&lt;=C26,"Bedingung erfüllt","Bedingung nicht erfüllt!!")</f>
        <v>Bedingung erfüllt</v>
      </c>
    </row>
    <row r="27" spans="1:6" ht="20.149999999999999" customHeight="1" x14ac:dyDescent="0.25"/>
    <row r="28" spans="1:6" ht="20.149999999999999" customHeight="1" x14ac:dyDescent="0.25">
      <c r="A28" s="555" t="s">
        <v>422</v>
      </c>
    </row>
    <row r="29" spans="1:6" ht="20.149999999999999" customHeight="1" x14ac:dyDescent="0.25">
      <c r="A29" s="545" t="s">
        <v>421</v>
      </c>
      <c r="B29" s="538" t="s">
        <v>0</v>
      </c>
      <c r="C29" s="534">
        <v>5.2</v>
      </c>
    </row>
    <row r="30" spans="1:6" ht="20.149999999999999" customHeight="1" x14ac:dyDescent="0.25">
      <c r="A30" s="537" t="s">
        <v>424</v>
      </c>
      <c r="B30" s="538" t="s">
        <v>0</v>
      </c>
      <c r="C30" s="535">
        <v>2</v>
      </c>
    </row>
    <row r="31" spans="1:6" ht="20.149999999999999" customHeight="1" x14ac:dyDescent="0.25">
      <c r="A31" s="537"/>
      <c r="B31" s="538"/>
      <c r="C31" s="548"/>
    </row>
    <row r="32" spans="1:6" ht="20.149999999999999" customHeight="1" x14ac:dyDescent="0.25">
      <c r="A32" s="537" t="s">
        <v>423</v>
      </c>
      <c r="B32" s="542" t="s">
        <v>403</v>
      </c>
      <c r="C32" s="549" t="s">
        <v>425</v>
      </c>
    </row>
    <row r="33" spans="1:6" ht="20.149999999999999" customHeight="1" x14ac:dyDescent="0.25">
      <c r="A33" s="575">
        <f>IF(C30=2,C11*TAN(C12*PI()/180)*1,IF(C30=1,C11*TAN(C12*PI()/180)*2,"nicht möglich"))</f>
        <v>4.0202540610797923</v>
      </c>
      <c r="B33" s="563" t="str">
        <f>IF(A33&lt;=C33,"&lt;=","&gt;")</f>
        <v>&lt;=</v>
      </c>
      <c r="C33" s="576">
        <f>IF(8&lt;C29*1000/500,8,C29*1000/500)</f>
        <v>8</v>
      </c>
      <c r="D33" s="563" t="str">
        <f>IF(A33&lt;=C33,"Bedingung erfüllt","Bedingung nicht erfüllt!!")</f>
        <v>Bedingung erfüllt</v>
      </c>
    </row>
    <row r="34" spans="1:6" ht="20.149999999999999" customHeight="1" x14ac:dyDescent="0.25">
      <c r="A34" s="128"/>
      <c r="B34" s="538"/>
      <c r="C34" s="550"/>
    </row>
    <row r="35" spans="1:6" ht="20.149999999999999" customHeight="1" x14ac:dyDescent="0.25">
      <c r="A35" s="552" t="s">
        <v>437</v>
      </c>
      <c r="B35" s="553"/>
      <c r="C35" s="553"/>
      <c r="D35" s="553"/>
      <c r="E35" s="553"/>
      <c r="F35" s="554"/>
    </row>
    <row r="36" spans="1:6" ht="20.149999999999999" customHeight="1" x14ac:dyDescent="0.25">
      <c r="A36" s="128"/>
      <c r="B36" s="538"/>
      <c r="C36" s="550"/>
    </row>
    <row r="37" spans="1:6" ht="20.149999999999999" customHeight="1" x14ac:dyDescent="0.25">
      <c r="A37" s="577">
        <f>'Bemessungstabelle unisoliert'!B28</f>
        <v>4</v>
      </c>
      <c r="B37" s="563" t="str">
        <f>IF(A37&lt;=C37,"&lt;=","&gt;")</f>
        <v>&lt;=</v>
      </c>
      <c r="C37" s="577">
        <f>'Bemessungstabelle unisoliert'!D28*0.9</f>
        <v>5.7311231400000011</v>
      </c>
      <c r="D37" s="563" t="str">
        <f>IF(A37&lt;=C37,"Bedingung erfüllt","Bedingung nicht erfüllt!!")</f>
        <v>Bedingung erfüllt</v>
      </c>
      <c r="E37" s="565"/>
    </row>
    <row r="38" spans="1:6" ht="20.149999999999999" customHeight="1" x14ac:dyDescent="0.25">
      <c r="A38" s="128"/>
      <c r="B38" s="538"/>
    </row>
    <row r="39" spans="1:6" ht="20.149999999999999" customHeight="1" x14ac:dyDescent="0.25">
      <c r="A39" s="578" t="s">
        <v>436</v>
      </c>
      <c r="B39" s="542"/>
      <c r="C39" s="539"/>
    </row>
    <row r="40" spans="1:6" ht="20.149999999999999" customHeight="1" x14ac:dyDescent="0.25"/>
    <row r="41" spans="1:6" ht="20.149999999999999" customHeight="1" x14ac:dyDescent="0.25"/>
    <row r="42" spans="1:6" ht="20.149999999999999" customHeight="1" x14ac:dyDescent="0.25"/>
    <row r="43" spans="1:6" ht="20.149999999999999" customHeight="1" x14ac:dyDescent="0.25"/>
    <row r="44" spans="1:6" ht="20.149999999999999" customHeight="1" x14ac:dyDescent="0.25"/>
    <row r="45" spans="1:6" ht="20.149999999999999" customHeight="1" x14ac:dyDescent="0.25"/>
    <row r="46" spans="1:6" ht="20.149999999999999" customHeight="1" x14ac:dyDescent="0.25"/>
    <row r="47" spans="1:6" ht="20.149999999999999" customHeight="1" x14ac:dyDescent="0.25"/>
    <row r="48" spans="1:6" ht="20.149999999999999" customHeight="1" x14ac:dyDescent="0.25"/>
    <row r="49" ht="20.149999999999999" customHeight="1" x14ac:dyDescent="0.25"/>
    <row r="50" ht="20.149999999999999" customHeight="1" x14ac:dyDescent="0.25"/>
    <row r="51" ht="20.149999999999999" customHeight="1" x14ac:dyDescent="0.25"/>
    <row r="52" ht="20.149999999999999" customHeight="1" x14ac:dyDescent="0.25"/>
    <row r="53" ht="20.149999999999999" customHeight="1" x14ac:dyDescent="0.25"/>
    <row r="54" ht="20.149999999999999" customHeight="1" x14ac:dyDescent="0.25"/>
    <row r="55" ht="20.149999999999999" customHeight="1" x14ac:dyDescent="0.25"/>
    <row r="56" ht="20.149999999999999" customHeight="1" x14ac:dyDescent="0.25"/>
    <row r="57" ht="20.149999999999999" customHeight="1" x14ac:dyDescent="0.25"/>
    <row r="58" ht="20.149999999999999" customHeight="1" x14ac:dyDescent="0.25"/>
    <row r="59" ht="20.149999999999999" customHeight="1" x14ac:dyDescent="0.25"/>
    <row r="60" ht="20.149999999999999" customHeight="1" x14ac:dyDescent="0.25"/>
    <row r="61" ht="20.149999999999999" customHeight="1" x14ac:dyDescent="0.25"/>
    <row r="62" ht="20.149999999999999" customHeight="1" x14ac:dyDescent="0.25"/>
    <row r="63" ht="20.149999999999999" customHeight="1" x14ac:dyDescent="0.25"/>
  </sheetData>
  <sheetProtection sheet="1" objects="1" scenarios="1"/>
  <mergeCells count="2">
    <mergeCell ref="A4:F4"/>
    <mergeCell ref="C19:F19"/>
  </mergeCells>
  <printOptions horizontalCentered="1"/>
  <pageMargins left="0.19685039370078741" right="0.19685039370078741" top="1.1811023622047245" bottom="0.39370078740157483" header="0.19685039370078741" footer="0.19685039370078741"/>
  <pageSetup paperSize="9" scale="86" orientation="portrait" blackAndWhite="1" horizontalDpi="4294967293" r:id="rId1"/>
  <headerFooter>
    <oddHeader>&amp;C&amp;8&amp;G</oddHeader>
    <oddFooter>&amp;L&amp;8Stand: Januar 2020&amp;R&amp;8&amp;D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Daten!$A$79:$A$101</xm:f>
          </x14:formula1>
          <xm:sqref>C19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0"/>
  <sheetViews>
    <sheetView showGridLines="0" zoomScaleNormal="100" workbookViewId="0">
      <selection activeCell="H2" sqref="H2:L10"/>
    </sheetView>
  </sheetViews>
  <sheetFormatPr baseColWidth="10" defaultRowHeight="12.5" x14ac:dyDescent="0.25"/>
  <cols>
    <col min="1" max="1" width="47.1796875" bestFit="1" customWidth="1"/>
    <col min="2" max="2" width="30.453125" customWidth="1"/>
    <col min="3" max="3" width="27.453125" customWidth="1"/>
    <col min="4" max="4" width="21.1796875" customWidth="1"/>
    <col min="5" max="5" width="11.7265625" bestFit="1" customWidth="1"/>
    <col min="10" max="10" width="12.7265625" bestFit="1" customWidth="1"/>
    <col min="13" max="13" width="12.54296875" hidden="1" customWidth="1"/>
  </cols>
  <sheetData>
    <row r="1" spans="1:13" ht="25.15" customHeight="1" thickBot="1" x14ac:dyDescent="0.3">
      <c r="A1" s="1">
        <v>1</v>
      </c>
      <c r="C1" t="s">
        <v>36</v>
      </c>
      <c r="D1" t="s">
        <v>49</v>
      </c>
    </row>
    <row r="2" spans="1:13" ht="25.15" customHeight="1" x14ac:dyDescent="0.25">
      <c r="A2" s="1" t="s">
        <v>2</v>
      </c>
      <c r="C2" t="s">
        <v>37</v>
      </c>
      <c r="D2" t="s">
        <v>50</v>
      </c>
      <c r="M2" s="29" t="s">
        <v>103</v>
      </c>
    </row>
    <row r="3" spans="1:13" ht="25.15" customHeight="1" thickBot="1" x14ac:dyDescent="0.3">
      <c r="A3" s="1">
        <v>2</v>
      </c>
      <c r="C3" t="s">
        <v>38</v>
      </c>
      <c r="M3" s="30" t="s">
        <v>104</v>
      </c>
    </row>
    <row r="4" spans="1:13" ht="25.15" customHeight="1" thickBot="1" x14ac:dyDescent="0.3">
      <c r="A4" s="1" t="s">
        <v>3</v>
      </c>
      <c r="C4" t="s">
        <v>39</v>
      </c>
      <c r="M4" s="32">
        <v>15</v>
      </c>
    </row>
    <row r="5" spans="1:13" ht="25.15" customHeight="1" x14ac:dyDescent="0.25">
      <c r="A5" s="1">
        <v>3</v>
      </c>
      <c r="C5" t="s">
        <v>40</v>
      </c>
      <c r="M5" s="34">
        <v>15</v>
      </c>
    </row>
    <row r="6" spans="1:13" ht="25.15" customHeight="1" thickBot="1" x14ac:dyDescent="0.3">
      <c r="C6" t="s">
        <v>41</v>
      </c>
      <c r="M6" s="33">
        <v>15</v>
      </c>
    </row>
    <row r="7" spans="1:13" ht="25.15" customHeight="1" thickBot="1" x14ac:dyDescent="0.3">
      <c r="A7" s="675" t="s">
        <v>507</v>
      </c>
      <c r="C7" t="s">
        <v>42</v>
      </c>
      <c r="M7" s="31"/>
    </row>
    <row r="8" spans="1:13" ht="25.15" customHeight="1" thickBot="1" x14ac:dyDescent="0.3">
      <c r="A8" s="675" t="s">
        <v>508</v>
      </c>
      <c r="C8" t="s">
        <v>43</v>
      </c>
      <c r="M8" s="32">
        <v>15</v>
      </c>
    </row>
    <row r="9" spans="1:13" ht="25.15" customHeight="1" x14ac:dyDescent="0.25">
      <c r="A9" s="675" t="s">
        <v>509</v>
      </c>
      <c r="M9" s="34">
        <v>15</v>
      </c>
    </row>
    <row r="10" spans="1:13" ht="25.15" customHeight="1" thickBot="1" x14ac:dyDescent="0.3">
      <c r="M10" s="33">
        <v>15</v>
      </c>
    </row>
    <row r="13" spans="1:13" x14ac:dyDescent="0.25">
      <c r="A13" t="s">
        <v>46</v>
      </c>
      <c r="D13" t="s">
        <v>46</v>
      </c>
    </row>
    <row r="14" spans="1:13" x14ac:dyDescent="0.25">
      <c r="A14" t="s">
        <v>55</v>
      </c>
      <c r="D14" t="s">
        <v>56</v>
      </c>
    </row>
    <row r="15" spans="1:13" ht="15.5" x14ac:dyDescent="0.4">
      <c r="A15" t="s">
        <v>47</v>
      </c>
      <c r="B15" t="s">
        <v>58</v>
      </c>
      <c r="D15" t="s">
        <v>47</v>
      </c>
      <c r="E15" t="s">
        <v>57</v>
      </c>
    </row>
    <row r="16" spans="1:13" x14ac:dyDescent="0.25">
      <c r="A16" s="14">
        <v>1.5</v>
      </c>
      <c r="B16" t="e">
        <f>1-('Ermittlung Schneelast'!$D$19-5)*0.04+(1.5-'Ermittlung Schneelast'!#REF!)*0.04</f>
        <v>#REF!</v>
      </c>
      <c r="D16" s="14">
        <v>1.5</v>
      </c>
      <c r="E16" t="e">
        <f>1-('Ermittlung Schneelast'!$D$19-3.5)*0.025+(1.5-'Ermittlung Schneelast'!#REF!)*0.1</f>
        <v>#REF!</v>
      </c>
    </row>
    <row r="17" spans="1:5" x14ac:dyDescent="0.25">
      <c r="A17" s="14">
        <v>2</v>
      </c>
      <c r="B17" t="e">
        <f>1-('Ermittlung Schneelast'!$D$19-4.25)*0.04+(2-'Ermittlung Schneelast'!#REF!)*0.06</f>
        <v>#REF!</v>
      </c>
      <c r="D17" s="14">
        <v>2</v>
      </c>
      <c r="E17" t="e">
        <f>1-('Ermittlung Schneelast'!$D$19-3)*0.03+(2-'Ermittlung Schneelast'!#REF!)*0.05</f>
        <v>#REF!</v>
      </c>
    </row>
    <row r="18" spans="1:5" x14ac:dyDescent="0.25">
      <c r="A18" s="14">
        <v>2.5</v>
      </c>
      <c r="B18" t="e">
        <f>1-('Ermittlung Schneelast'!$D$19-3.5)*0.04+(2.5-'Ermittlung Schneelast'!#REF!)*0.06</f>
        <v>#REF!</v>
      </c>
      <c r="D18" s="14">
        <v>2.5</v>
      </c>
      <c r="E18" t="e">
        <f>1-('Ermittlung Schneelast'!$D$19-2.5)*0.035+(2.5-'Ermittlung Schneelast'!#REF!)*0.06</f>
        <v>#REF!</v>
      </c>
    </row>
    <row r="19" spans="1:5" x14ac:dyDescent="0.25">
      <c r="A19" s="14">
        <v>3</v>
      </c>
      <c r="B19" t="e">
        <f>1-('Ermittlung Schneelast'!$D$19-3)*0.04+(3-'Ermittlung Schneelast'!#REF!)*0.04</f>
        <v>#REF!</v>
      </c>
      <c r="D19" s="14">
        <v>3</v>
      </c>
      <c r="E19" t="e">
        <f>1-('Ermittlung Schneelast'!$D$19-2)*0.04+(3-'Ermittlung Schneelast'!#REF!)*0.07</f>
        <v>#REF!</v>
      </c>
    </row>
    <row r="22" spans="1:5" x14ac:dyDescent="0.25">
      <c r="A22" t="s">
        <v>87</v>
      </c>
      <c r="B22" s="1">
        <v>200</v>
      </c>
    </row>
    <row r="23" spans="1:5" x14ac:dyDescent="0.25">
      <c r="A23" t="s">
        <v>88</v>
      </c>
      <c r="B23" s="1">
        <v>250</v>
      </c>
    </row>
    <row r="24" spans="1:5" x14ac:dyDescent="0.25">
      <c r="A24" t="s">
        <v>89</v>
      </c>
      <c r="B24" s="1">
        <v>300</v>
      </c>
    </row>
    <row r="25" spans="1:5" x14ac:dyDescent="0.25">
      <c r="A25" t="s">
        <v>119</v>
      </c>
      <c r="B25" s="1">
        <v>500</v>
      </c>
    </row>
    <row r="26" spans="1:5" x14ac:dyDescent="0.25">
      <c r="A26" t="s">
        <v>97</v>
      </c>
    </row>
    <row r="27" spans="1:5" x14ac:dyDescent="0.25">
      <c r="A27" t="s">
        <v>98</v>
      </c>
    </row>
    <row r="29" spans="1:5" x14ac:dyDescent="0.25">
      <c r="A29" s="666" t="s">
        <v>123</v>
      </c>
      <c r="B29" t="s">
        <v>36</v>
      </c>
      <c r="C29" t="s">
        <v>49</v>
      </c>
      <c r="D29" t="s">
        <v>97</v>
      </c>
    </row>
    <row r="30" spans="1:5" x14ac:dyDescent="0.25">
      <c r="A30" s="1" t="s">
        <v>2</v>
      </c>
      <c r="B30" t="s">
        <v>37</v>
      </c>
      <c r="C30" t="s">
        <v>50</v>
      </c>
      <c r="D30" t="s">
        <v>98</v>
      </c>
    </row>
    <row r="31" spans="1:5" x14ac:dyDescent="0.25">
      <c r="A31" s="666" t="s">
        <v>124</v>
      </c>
      <c r="B31" t="s">
        <v>38</v>
      </c>
      <c r="C31" s="7"/>
      <c r="D31" s="7"/>
    </row>
    <row r="32" spans="1:5" x14ac:dyDescent="0.25">
      <c r="A32" s="1" t="s">
        <v>3</v>
      </c>
      <c r="B32" t="s">
        <v>39</v>
      </c>
      <c r="C32" s="2"/>
      <c r="D32" s="2"/>
    </row>
    <row r="33" spans="1:7" x14ac:dyDescent="0.25">
      <c r="A33" s="666" t="s">
        <v>125</v>
      </c>
      <c r="B33" t="s">
        <v>40</v>
      </c>
      <c r="C33" s="2"/>
      <c r="D33" s="2"/>
    </row>
    <row r="34" spans="1:7" x14ac:dyDescent="0.25">
      <c r="A34" s="2" t="s">
        <v>544</v>
      </c>
      <c r="B34" t="s">
        <v>41</v>
      </c>
      <c r="C34" s="4"/>
      <c r="D34" s="4"/>
    </row>
    <row r="35" spans="1:7" x14ac:dyDescent="0.25">
      <c r="A35" s="4"/>
      <c r="B35" t="s">
        <v>42</v>
      </c>
      <c r="C35" s="4"/>
      <c r="D35" s="4"/>
    </row>
    <row r="36" spans="1:7" x14ac:dyDescent="0.25">
      <c r="A36" s="4"/>
      <c r="B36" t="s">
        <v>43</v>
      </c>
      <c r="C36" s="4"/>
      <c r="D36" s="4"/>
    </row>
    <row r="37" spans="1:7" x14ac:dyDescent="0.25">
      <c r="A37" s="299" t="s">
        <v>286</v>
      </c>
      <c r="B37" s="300" t="s">
        <v>294</v>
      </c>
      <c r="C37" s="300" t="s">
        <v>295</v>
      </c>
      <c r="D37" s="300" t="s">
        <v>296</v>
      </c>
      <c r="F37" s="295" t="s">
        <v>287</v>
      </c>
      <c r="G37" s="296" t="s">
        <v>300</v>
      </c>
    </row>
    <row r="38" spans="1:7" x14ac:dyDescent="0.25">
      <c r="A38" s="301" t="s">
        <v>6</v>
      </c>
      <c r="B38" s="302">
        <v>1.02</v>
      </c>
      <c r="C38" s="302">
        <v>1.03</v>
      </c>
      <c r="D38" s="302">
        <v>1.02</v>
      </c>
      <c r="F38" s="297" t="s">
        <v>6</v>
      </c>
      <c r="G38" s="298">
        <v>1</v>
      </c>
    </row>
    <row r="39" spans="1:7" x14ac:dyDescent="0.25">
      <c r="A39" s="302" t="s">
        <v>438</v>
      </c>
      <c r="B39" s="302">
        <v>1.01</v>
      </c>
      <c r="C39" s="302">
        <v>1.01</v>
      </c>
      <c r="D39" s="302">
        <v>1.01</v>
      </c>
      <c r="F39" s="297" t="s">
        <v>438</v>
      </c>
      <c r="G39" s="298">
        <v>1.01</v>
      </c>
    </row>
    <row r="40" spans="1:7" x14ac:dyDescent="0.25">
      <c r="A40" s="301" t="s">
        <v>297</v>
      </c>
      <c r="B40" s="302">
        <v>1</v>
      </c>
      <c r="C40" s="302">
        <v>1</v>
      </c>
      <c r="D40" s="302">
        <v>1</v>
      </c>
      <c r="F40" s="297" t="s">
        <v>105</v>
      </c>
      <c r="G40" s="298">
        <v>0.98</v>
      </c>
    </row>
    <row r="41" spans="1:7" x14ac:dyDescent="0.25">
      <c r="A41" s="301" t="s">
        <v>298</v>
      </c>
      <c r="B41" s="302">
        <v>0.98</v>
      </c>
      <c r="C41" s="302">
        <v>0.97</v>
      </c>
      <c r="D41" s="302">
        <v>0.97</v>
      </c>
      <c r="F41" s="297" t="s">
        <v>283</v>
      </c>
      <c r="G41" s="298">
        <v>0.98</v>
      </c>
    </row>
    <row r="42" spans="1:7" x14ac:dyDescent="0.25">
      <c r="A42" s="301" t="s">
        <v>299</v>
      </c>
      <c r="B42" s="302">
        <v>0.96</v>
      </c>
      <c r="C42" s="302">
        <v>0.94</v>
      </c>
      <c r="D42" s="302">
        <v>0.95</v>
      </c>
      <c r="F42" s="297" t="s">
        <v>106</v>
      </c>
      <c r="G42" s="298">
        <v>0.98</v>
      </c>
    </row>
    <row r="43" spans="1:7" x14ac:dyDescent="0.25">
      <c r="A43" s="301" t="s">
        <v>5</v>
      </c>
      <c r="B43" s="302">
        <v>1.07</v>
      </c>
      <c r="C43" s="302">
        <v>1.1000000000000001</v>
      </c>
      <c r="D43" s="302">
        <v>1.08</v>
      </c>
      <c r="F43" s="297" t="s">
        <v>5</v>
      </c>
      <c r="G43" s="298">
        <v>1.04</v>
      </c>
    </row>
    <row r="44" spans="1:7" x14ac:dyDescent="0.25">
      <c r="A44" t="s">
        <v>87</v>
      </c>
      <c r="B44" s="1">
        <v>1</v>
      </c>
    </row>
    <row r="45" spans="1:7" x14ac:dyDescent="0.25">
      <c r="A45" t="s">
        <v>88</v>
      </c>
      <c r="B45" s="1">
        <v>0.93</v>
      </c>
    </row>
    <row r="46" spans="1:7" x14ac:dyDescent="0.25">
      <c r="A46" t="s">
        <v>89</v>
      </c>
      <c r="B46" s="1">
        <v>0.873</v>
      </c>
    </row>
    <row r="47" spans="1:7" x14ac:dyDescent="0.25">
      <c r="A47" t="s">
        <v>119</v>
      </c>
      <c r="B47" s="1">
        <v>0.74</v>
      </c>
    </row>
    <row r="49" spans="1:6" x14ac:dyDescent="0.25">
      <c r="B49" s="278" t="s">
        <v>284</v>
      </c>
      <c r="C49" s="278" t="s">
        <v>285</v>
      </c>
      <c r="D49" s="278" t="s">
        <v>331</v>
      </c>
      <c r="E49" s="278" t="s">
        <v>322</v>
      </c>
      <c r="F49" s="278" t="s">
        <v>332</v>
      </c>
    </row>
    <row r="50" spans="1:6" x14ac:dyDescent="0.25">
      <c r="A50" t="s">
        <v>36</v>
      </c>
      <c r="B50" s="1">
        <v>1</v>
      </c>
      <c r="C50" s="1">
        <v>1</v>
      </c>
      <c r="D50" s="1">
        <v>1</v>
      </c>
      <c r="E50" s="1">
        <v>1</v>
      </c>
      <c r="F50" s="1">
        <v>1</v>
      </c>
    </row>
    <row r="51" spans="1:6" x14ac:dyDescent="0.25">
      <c r="A51" t="s">
        <v>37</v>
      </c>
      <c r="B51" s="1">
        <v>1</v>
      </c>
      <c r="C51" s="1">
        <v>1</v>
      </c>
      <c r="D51" s="1">
        <v>1</v>
      </c>
      <c r="E51" s="1">
        <v>1</v>
      </c>
      <c r="F51" s="1">
        <v>1</v>
      </c>
    </row>
    <row r="52" spans="1:6" x14ac:dyDescent="0.25">
      <c r="A52" t="s">
        <v>38</v>
      </c>
      <c r="B52" s="1">
        <v>0.96</v>
      </c>
      <c r="C52" s="1">
        <v>0.95</v>
      </c>
      <c r="D52" s="1">
        <v>0.98</v>
      </c>
      <c r="E52" s="1">
        <v>0.98</v>
      </c>
      <c r="F52" s="1">
        <v>0.97</v>
      </c>
    </row>
    <row r="53" spans="1:6" x14ac:dyDescent="0.25">
      <c r="A53" t="s">
        <v>39</v>
      </c>
      <c r="B53" s="1">
        <v>0.98</v>
      </c>
      <c r="C53" s="1">
        <v>0.98</v>
      </c>
      <c r="D53" s="1">
        <v>0.99</v>
      </c>
      <c r="E53" s="1">
        <v>0.99</v>
      </c>
      <c r="F53" s="1">
        <v>0.99</v>
      </c>
    </row>
    <row r="54" spans="1:6" x14ac:dyDescent="0.25">
      <c r="A54" t="s">
        <v>40</v>
      </c>
      <c r="B54" s="1">
        <v>0.96</v>
      </c>
      <c r="C54" s="1">
        <v>0.95</v>
      </c>
      <c r="D54" s="1">
        <v>0.98</v>
      </c>
      <c r="E54" s="1">
        <v>0.98</v>
      </c>
      <c r="F54" s="1">
        <v>0.97</v>
      </c>
    </row>
    <row r="55" spans="1:6" x14ac:dyDescent="0.25">
      <c r="A55" t="s">
        <v>41</v>
      </c>
      <c r="B55" s="1">
        <v>0.96</v>
      </c>
      <c r="C55" s="1">
        <v>0.95</v>
      </c>
      <c r="D55" s="1">
        <v>0.98</v>
      </c>
      <c r="E55" s="1">
        <v>0.98</v>
      </c>
      <c r="F55" s="1">
        <v>0.97</v>
      </c>
    </row>
    <row r="56" spans="1:6" x14ac:dyDescent="0.25">
      <c r="A56" s="279" t="s">
        <v>43</v>
      </c>
      <c r="B56" s="1">
        <v>0.94</v>
      </c>
      <c r="C56" s="1">
        <v>0.91</v>
      </c>
      <c r="D56" s="1">
        <v>0.97</v>
      </c>
      <c r="E56" s="1">
        <v>0.96</v>
      </c>
      <c r="F56" s="1">
        <v>0.94</v>
      </c>
    </row>
    <row r="57" spans="1:6" x14ac:dyDescent="0.25">
      <c r="A57" t="s">
        <v>42</v>
      </c>
      <c r="B57" s="1">
        <v>0.94</v>
      </c>
      <c r="C57" s="1">
        <v>0.91</v>
      </c>
      <c r="D57" s="1">
        <v>0.97</v>
      </c>
      <c r="E57" s="1">
        <v>0.96</v>
      </c>
      <c r="F57" s="1">
        <v>0.94</v>
      </c>
    </row>
    <row r="62" spans="1:6" x14ac:dyDescent="0.25">
      <c r="A62" s="566" t="s">
        <v>10</v>
      </c>
      <c r="B62" s="570" t="s">
        <v>428</v>
      </c>
    </row>
    <row r="63" spans="1:6" x14ac:dyDescent="0.25">
      <c r="A63" s="567" t="s">
        <v>405</v>
      </c>
      <c r="B63" s="568">
        <v>1</v>
      </c>
    </row>
    <row r="64" spans="1:6" x14ac:dyDescent="0.25">
      <c r="A64" s="567" t="s">
        <v>406</v>
      </c>
      <c r="B64" s="568">
        <v>0.63</v>
      </c>
    </row>
    <row r="65" spans="1:3" x14ac:dyDescent="0.25">
      <c r="A65" s="567" t="s">
        <v>404</v>
      </c>
      <c r="B65" s="568">
        <v>0.8</v>
      </c>
    </row>
    <row r="66" spans="1:3" x14ac:dyDescent="0.25">
      <c r="A66" s="567" t="s">
        <v>411</v>
      </c>
      <c r="B66" s="568">
        <v>0.91</v>
      </c>
    </row>
    <row r="67" spans="1:3" x14ac:dyDescent="0.25">
      <c r="A67" s="567" t="s">
        <v>407</v>
      </c>
      <c r="B67" s="568">
        <v>0.63</v>
      </c>
    </row>
    <row r="68" spans="1:3" x14ac:dyDescent="0.25">
      <c r="A68" s="567" t="s">
        <v>410</v>
      </c>
      <c r="B68" s="568">
        <v>0.93</v>
      </c>
    </row>
    <row r="69" spans="1:3" x14ac:dyDescent="0.25">
      <c r="A69" s="567" t="s">
        <v>409</v>
      </c>
      <c r="B69" s="568">
        <v>0.71</v>
      </c>
    </row>
    <row r="70" spans="1:3" x14ac:dyDescent="0.25">
      <c r="A70" s="567" t="s">
        <v>408</v>
      </c>
      <c r="B70" s="568">
        <v>0.94</v>
      </c>
    </row>
    <row r="71" spans="1:3" x14ac:dyDescent="0.25">
      <c r="A71" s="569" t="s">
        <v>414</v>
      </c>
      <c r="B71" s="568">
        <v>0.9</v>
      </c>
    </row>
    <row r="72" spans="1:3" x14ac:dyDescent="0.25">
      <c r="A72" s="569" t="s">
        <v>413</v>
      </c>
      <c r="B72" s="568">
        <v>0.66</v>
      </c>
    </row>
    <row r="73" spans="1:3" x14ac:dyDescent="0.25">
      <c r="A73" s="569" t="s">
        <v>412</v>
      </c>
      <c r="B73" s="568">
        <v>0.75</v>
      </c>
    </row>
    <row r="78" spans="1:3" x14ac:dyDescent="0.25">
      <c r="A78" s="465" t="s">
        <v>10</v>
      </c>
      <c r="B78" s="571" t="s">
        <v>428</v>
      </c>
    </row>
    <row r="79" spans="1:3" x14ac:dyDescent="0.25">
      <c r="A79" s="572" t="s">
        <v>430</v>
      </c>
      <c r="B79" s="654">
        <v>0.81</v>
      </c>
      <c r="C79" s="655"/>
    </row>
    <row r="80" spans="1:3" x14ac:dyDescent="0.25">
      <c r="A80" s="572" t="s">
        <v>429</v>
      </c>
      <c r="B80" s="654">
        <v>1</v>
      </c>
      <c r="C80" s="655"/>
    </row>
    <row r="81" spans="1:3" x14ac:dyDescent="0.25">
      <c r="A81" s="572" t="s">
        <v>464</v>
      </c>
      <c r="B81" s="654">
        <v>0.62</v>
      </c>
      <c r="C81" s="655"/>
    </row>
    <row r="82" spans="1:3" x14ac:dyDescent="0.25">
      <c r="A82" s="572" t="s">
        <v>465</v>
      </c>
      <c r="B82" s="654">
        <v>0.77</v>
      </c>
      <c r="C82" s="655"/>
    </row>
    <row r="83" spans="1:3" x14ac:dyDescent="0.25">
      <c r="A83" s="572" t="s">
        <v>432</v>
      </c>
      <c r="B83" s="654">
        <v>0.7</v>
      </c>
      <c r="C83" s="655"/>
    </row>
    <row r="84" spans="1:3" x14ac:dyDescent="0.25">
      <c r="A84" s="572" t="s">
        <v>431</v>
      </c>
      <c r="B84" s="654">
        <v>0.95</v>
      </c>
      <c r="C84" s="655"/>
    </row>
    <row r="85" spans="1:3" x14ac:dyDescent="0.25">
      <c r="A85" s="572" t="s">
        <v>434</v>
      </c>
      <c r="B85" s="654">
        <v>0.59</v>
      </c>
      <c r="C85" s="655"/>
    </row>
    <row r="86" spans="1:3" x14ac:dyDescent="0.25">
      <c r="A86" s="572" t="s">
        <v>433</v>
      </c>
      <c r="B86" s="654">
        <v>0.7</v>
      </c>
      <c r="C86" s="655"/>
    </row>
    <row r="87" spans="1:3" x14ac:dyDescent="0.25">
      <c r="A87" s="572" t="s">
        <v>466</v>
      </c>
      <c r="B87" s="654">
        <v>0.85</v>
      </c>
      <c r="C87" s="655"/>
    </row>
    <row r="88" spans="1:3" x14ac:dyDescent="0.25">
      <c r="A88" s="572" t="s">
        <v>467</v>
      </c>
      <c r="B88" s="654">
        <v>1</v>
      </c>
      <c r="C88" s="655"/>
    </row>
    <row r="89" spans="1:3" x14ac:dyDescent="0.25">
      <c r="A89" s="572" t="s">
        <v>474</v>
      </c>
      <c r="B89" s="573">
        <v>0.45</v>
      </c>
      <c r="C89" s="655"/>
    </row>
    <row r="90" spans="1:3" x14ac:dyDescent="0.25">
      <c r="A90" s="572" t="s">
        <v>475</v>
      </c>
      <c r="B90" s="573">
        <v>0.73</v>
      </c>
      <c r="C90" s="655"/>
    </row>
    <row r="91" spans="1:3" x14ac:dyDescent="0.25">
      <c r="A91" s="572" t="s">
        <v>472</v>
      </c>
      <c r="B91" s="573">
        <v>0.5</v>
      </c>
      <c r="C91" s="655"/>
    </row>
    <row r="92" spans="1:3" x14ac:dyDescent="0.25">
      <c r="A92" s="572" t="s">
        <v>473</v>
      </c>
      <c r="B92" s="573">
        <v>0.81</v>
      </c>
      <c r="C92" s="655"/>
    </row>
    <row r="93" spans="1:3" x14ac:dyDescent="0.25">
      <c r="A93" s="572" t="s">
        <v>486</v>
      </c>
      <c r="B93" s="573">
        <v>0.48</v>
      </c>
      <c r="C93" s="655"/>
    </row>
    <row r="94" spans="1:3" x14ac:dyDescent="0.25">
      <c r="A94" s="572" t="s">
        <v>487</v>
      </c>
      <c r="B94" s="573">
        <v>0.55000000000000004</v>
      </c>
      <c r="C94" s="655"/>
    </row>
    <row r="95" spans="1:3" x14ac:dyDescent="0.25">
      <c r="A95" s="572" t="s">
        <v>479</v>
      </c>
      <c r="B95" s="573">
        <v>0.45</v>
      </c>
      <c r="C95" s="657"/>
    </row>
    <row r="96" spans="1:3" x14ac:dyDescent="0.25">
      <c r="A96" s="572" t="s">
        <v>480</v>
      </c>
      <c r="B96" s="573">
        <v>0.73</v>
      </c>
      <c r="C96" s="657"/>
    </row>
    <row r="97" spans="1:3" x14ac:dyDescent="0.25">
      <c r="A97" s="572" t="s">
        <v>481</v>
      </c>
      <c r="B97" s="573">
        <v>0.5</v>
      </c>
      <c r="C97" s="657"/>
    </row>
    <row r="98" spans="1:3" x14ac:dyDescent="0.25">
      <c r="A98" s="572" t="s">
        <v>482</v>
      </c>
      <c r="B98" s="573">
        <v>0.81</v>
      </c>
      <c r="C98" s="657"/>
    </row>
    <row r="99" spans="1:3" x14ac:dyDescent="0.25">
      <c r="A99" s="572" t="s">
        <v>488</v>
      </c>
      <c r="B99" s="573">
        <v>0.48</v>
      </c>
      <c r="C99" s="657"/>
    </row>
    <row r="100" spans="1:3" x14ac:dyDescent="0.25">
      <c r="A100" s="572" t="s">
        <v>489</v>
      </c>
      <c r="B100" s="573">
        <v>0.55000000000000004</v>
      </c>
      <c r="C100" s="657"/>
    </row>
    <row r="101" spans="1:3" x14ac:dyDescent="0.25">
      <c r="A101" s="572" t="s">
        <v>490</v>
      </c>
      <c r="B101" s="573">
        <v>0.61</v>
      </c>
    </row>
    <row r="104" spans="1:3" x14ac:dyDescent="0.25">
      <c r="A104" s="584" t="s">
        <v>439</v>
      </c>
      <c r="B104" s="585">
        <v>1</v>
      </c>
    </row>
    <row r="105" spans="1:3" x14ac:dyDescent="0.25">
      <c r="A105" s="584" t="s">
        <v>442</v>
      </c>
      <c r="B105" s="585">
        <v>1.22</v>
      </c>
    </row>
    <row r="106" spans="1:3" x14ac:dyDescent="0.25">
      <c r="A106" s="584" t="s">
        <v>441</v>
      </c>
      <c r="B106" s="585">
        <v>1.23</v>
      </c>
    </row>
    <row r="107" spans="1:3" x14ac:dyDescent="0.25">
      <c r="A107" s="584" t="s">
        <v>440</v>
      </c>
      <c r="B107" s="585">
        <v>1.34</v>
      </c>
    </row>
    <row r="108" spans="1:3" x14ac:dyDescent="0.25">
      <c r="A108" s="584" t="s">
        <v>445</v>
      </c>
      <c r="B108" s="585">
        <v>1.45</v>
      </c>
    </row>
    <row r="109" spans="1:3" x14ac:dyDescent="0.25">
      <c r="A109" s="584" t="s">
        <v>444</v>
      </c>
      <c r="B109" s="585">
        <v>1.5</v>
      </c>
    </row>
    <row r="110" spans="1:3" x14ac:dyDescent="0.25">
      <c r="A110" s="584" t="s">
        <v>443</v>
      </c>
      <c r="B110" s="585">
        <v>1.24</v>
      </c>
    </row>
  </sheetData>
  <sheetProtection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73" orientation="portrait" horizontalDpi="300" verticalDpi="300" r:id="rId1"/>
  <headerFooter alignWithMargins="0">
    <oddHeader>&amp;R&amp;G</oddHeader>
    <oddFooter>&amp;R&amp;D</oddFooter>
  </headerFooter>
  <colBreaks count="1" manualBreakCount="1">
    <brk id="7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2" sqref="A2"/>
    </sheetView>
  </sheetViews>
  <sheetFormatPr baseColWidth="10" defaultColWidth="11.453125" defaultRowHeight="17.5" x14ac:dyDescent="0.35"/>
  <cols>
    <col min="1" max="1" width="31.54296875" style="740" customWidth="1"/>
    <col min="2" max="2" width="19.7265625" style="740" customWidth="1"/>
    <col min="3" max="3" width="39.7265625" style="740" customWidth="1"/>
    <col min="4" max="16384" width="11.453125" style="740"/>
  </cols>
  <sheetData>
    <row r="1" spans="1:4" x14ac:dyDescent="0.35">
      <c r="A1" s="784" t="s">
        <v>567</v>
      </c>
      <c r="B1" s="784"/>
      <c r="C1" s="784"/>
      <c r="D1" s="741"/>
    </row>
    <row r="2" spans="1:4" x14ac:dyDescent="0.35">
      <c r="D2" s="741"/>
    </row>
    <row r="3" spans="1:4" x14ac:dyDescent="0.35">
      <c r="A3" s="783" t="s">
        <v>10</v>
      </c>
      <c r="B3" s="743" t="s">
        <v>101</v>
      </c>
      <c r="C3" s="743" t="s">
        <v>87</v>
      </c>
      <c r="D3" s="741"/>
    </row>
    <row r="4" spans="1:4" x14ac:dyDescent="0.35">
      <c r="A4" s="783"/>
      <c r="B4" s="744" t="s">
        <v>102</v>
      </c>
      <c r="C4" s="744" t="s">
        <v>87</v>
      </c>
      <c r="D4" s="741"/>
    </row>
    <row r="5" spans="1:4" x14ac:dyDescent="0.35">
      <c r="A5" s="742"/>
      <c r="B5" s="742"/>
      <c r="C5" s="742"/>
      <c r="D5" s="741"/>
    </row>
    <row r="6" spans="1:4" x14ac:dyDescent="0.35">
      <c r="A6" s="783" t="s">
        <v>564</v>
      </c>
      <c r="B6" s="743" t="s">
        <v>101</v>
      </c>
      <c r="C6" s="743" t="s">
        <v>89</v>
      </c>
      <c r="D6" s="741"/>
    </row>
    <row r="7" spans="1:4" x14ac:dyDescent="0.35">
      <c r="A7" s="783"/>
      <c r="B7" s="744" t="s">
        <v>102</v>
      </c>
      <c r="C7" s="744" t="s">
        <v>563</v>
      </c>
      <c r="D7" s="741"/>
    </row>
    <row r="9" spans="1:4" x14ac:dyDescent="0.35">
      <c r="A9" s="745"/>
    </row>
  </sheetData>
  <sheetProtection sheet="1" objects="1" scenarios="1"/>
  <mergeCells count="3">
    <mergeCell ref="A6:A7"/>
    <mergeCell ref="A1:C1"/>
    <mergeCell ref="A3:A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B1:AJ60"/>
  <sheetViews>
    <sheetView showGridLines="0" view="pageBreakPreview" topLeftCell="A7" zoomScale="90" zoomScaleNormal="75" workbookViewId="0">
      <selection activeCell="H27" sqref="H27"/>
    </sheetView>
  </sheetViews>
  <sheetFormatPr baseColWidth="10" defaultColWidth="11.54296875" defaultRowHeight="12.5" x14ac:dyDescent="0.25"/>
  <cols>
    <col min="1" max="1" width="2.7265625" style="36" customWidth="1"/>
    <col min="2" max="2" width="16.54296875" style="36" customWidth="1"/>
    <col min="3" max="3" width="13.81640625" style="36" bestFit="1" customWidth="1"/>
    <col min="4" max="4" width="17.1796875" style="36" bestFit="1" customWidth="1"/>
    <col min="5" max="5" width="17.1796875" style="36" customWidth="1"/>
    <col min="6" max="6" width="14.1796875" style="36" customWidth="1"/>
    <col min="7" max="7" width="7.7265625" style="36" bestFit="1" customWidth="1"/>
    <col min="8" max="8" width="16" style="36" bestFit="1" customWidth="1"/>
    <col min="9" max="9" width="15" style="36" customWidth="1"/>
    <col min="10" max="10" width="16" style="36" bestFit="1" customWidth="1"/>
    <col min="11" max="11" width="7.7265625" style="36" customWidth="1"/>
    <col min="12" max="13" width="16" style="36" bestFit="1" customWidth="1"/>
    <col min="14" max="14" width="7.7265625" style="36" customWidth="1"/>
    <col min="15" max="15" width="14.1796875" style="36" bestFit="1" customWidth="1"/>
    <col min="16" max="16" width="7.7265625" style="36" customWidth="1"/>
    <col min="17" max="17" width="17.1796875" style="36" customWidth="1"/>
    <col min="18" max="18" width="2.7265625" style="36" customWidth="1"/>
    <col min="19" max="19" width="16.54296875" style="36" bestFit="1" customWidth="1"/>
    <col min="20" max="20" width="12.26953125" style="36" bestFit="1" customWidth="1"/>
    <col min="21" max="21" width="18.453125" style="36" bestFit="1" customWidth="1"/>
    <col min="22" max="22" width="26" style="36" bestFit="1" customWidth="1"/>
    <col min="23" max="24" width="17.1796875" style="36" customWidth="1"/>
    <col min="25" max="25" width="12.7265625" style="36" customWidth="1"/>
    <col min="26" max="26" width="13.81640625" style="36" customWidth="1"/>
    <col min="27" max="27" width="14.7265625" style="36" customWidth="1"/>
    <col min="28" max="28" width="7.7265625" style="36" customWidth="1"/>
    <col min="29" max="29" width="17.1796875" style="36" bestFit="1" customWidth="1"/>
    <col min="30" max="30" width="2.7265625" style="36" customWidth="1"/>
    <col min="31" max="31" width="16.54296875" style="36" customWidth="1"/>
    <col min="32" max="32" width="11.1796875" style="36" customWidth="1"/>
    <col min="33" max="34" width="17.1796875" style="36" customWidth="1"/>
    <col min="35" max="35" width="12.7265625" style="36" customWidth="1"/>
    <col min="36" max="36" width="13.54296875" style="36" customWidth="1"/>
    <col min="37" max="16384" width="11.54296875" style="36"/>
  </cols>
  <sheetData>
    <row r="1" spans="2:36" ht="20.149999999999999" customHeight="1" x14ac:dyDescent="0.35">
      <c r="B1" s="35" t="s">
        <v>70</v>
      </c>
      <c r="S1" s="35" t="s">
        <v>76</v>
      </c>
      <c r="V1" s="37"/>
      <c r="AE1" s="35" t="s">
        <v>118</v>
      </c>
      <c r="AJ1" s="58"/>
    </row>
    <row r="2" spans="2:36" ht="20.149999999999999" customHeight="1" x14ac:dyDescent="0.25">
      <c r="V2" s="38"/>
      <c r="AJ2" s="58"/>
    </row>
    <row r="3" spans="2:36" ht="20.149999999999999" customHeight="1" x14ac:dyDescent="0.3">
      <c r="B3" s="39" t="s">
        <v>96</v>
      </c>
      <c r="S3" s="39" t="s">
        <v>96</v>
      </c>
      <c r="T3" s="40"/>
      <c r="V3" s="38"/>
      <c r="AE3" s="39" t="s">
        <v>96</v>
      </c>
      <c r="AJ3" s="58"/>
    </row>
    <row r="4" spans="2:36" ht="20.149999999999999" customHeight="1" x14ac:dyDescent="0.25">
      <c r="B4" s="36" t="s">
        <v>72</v>
      </c>
      <c r="C4" s="41">
        <f>'Bemessungstabelle isoliert'!D6</f>
        <v>1.1000000000000001</v>
      </c>
      <c r="S4" s="40" t="s">
        <v>72</v>
      </c>
      <c r="T4" s="41" t="e">
        <f>'Bemessungstabelle isoliert'!#REF!</f>
        <v>#REF!</v>
      </c>
      <c r="V4" s="37"/>
      <c r="AE4" s="86" t="s">
        <v>72</v>
      </c>
      <c r="AF4" s="41">
        <f>'Bemessungstabelle unisoliert'!D50</f>
        <v>0</v>
      </c>
      <c r="AG4" s="86"/>
      <c r="AJ4" s="58"/>
    </row>
    <row r="5" spans="2:36" ht="20.149999999999999" customHeight="1" x14ac:dyDescent="0.25">
      <c r="B5" s="36" t="s">
        <v>95</v>
      </c>
      <c r="C5" s="41" t="str">
        <f>'Bemessungstabelle isoliert'!D8</f>
        <v>1, Binnenland</v>
      </c>
      <c r="S5" s="40" t="s">
        <v>95</v>
      </c>
      <c r="T5" s="41" t="e">
        <f>'Bemessungstabelle isoliert'!#REF!</f>
        <v>#REF!</v>
      </c>
      <c r="V5" s="38"/>
      <c r="AE5" s="87" t="s">
        <v>95</v>
      </c>
      <c r="AF5" s="41">
        <f>'Bemessungstabelle unisoliert'!D51</f>
        <v>0</v>
      </c>
      <c r="AG5" s="86"/>
      <c r="AJ5" s="58"/>
    </row>
    <row r="6" spans="2:36" ht="20.149999999999999" customHeight="1" x14ac:dyDescent="0.25">
      <c r="B6" s="36" t="s">
        <v>73</v>
      </c>
      <c r="C6" s="40" t="str">
        <f>'Bemessungstabelle isoliert'!D5</f>
        <v>ISO-VSG (6+8), 14mm Glasdicke</v>
      </c>
      <c r="S6" s="40" t="s">
        <v>73</v>
      </c>
      <c r="T6" s="40" t="e">
        <f>'Bemessungstabelle isoliert'!#REF!</f>
        <v>#REF!</v>
      </c>
      <c r="V6" s="37"/>
      <c r="AE6" s="86" t="s">
        <v>73</v>
      </c>
      <c r="AF6" s="87" t="e">
        <f>'Bemessungstabelle unisoliert'!#REF!</f>
        <v>#REF!</v>
      </c>
      <c r="AG6" s="86"/>
      <c r="AJ6" s="58"/>
    </row>
    <row r="7" spans="2:36" ht="20.149999999999999" customHeight="1" x14ac:dyDescent="0.25">
      <c r="B7" s="36" t="s">
        <v>74</v>
      </c>
      <c r="C7" s="42">
        <f>'Bemessungstabelle isoliert'!D9</f>
        <v>10</v>
      </c>
      <c r="S7" s="40" t="s">
        <v>74</v>
      </c>
      <c r="T7" s="42" t="e">
        <f>'Bemessungstabelle isoliert'!#REF!</f>
        <v>#REF!</v>
      </c>
      <c r="AE7" s="86" t="s">
        <v>74</v>
      </c>
      <c r="AF7" s="42">
        <f>'Bemessungstabelle unisoliert'!D52</f>
        <v>0</v>
      </c>
      <c r="AG7" s="86"/>
    </row>
    <row r="8" spans="2:36" ht="20.149999999999999" customHeight="1" x14ac:dyDescent="0.25">
      <c r="B8" s="36" t="s">
        <v>107</v>
      </c>
      <c r="C8" s="88">
        <f>'Bemessungstabelle isoliert'!D12</f>
        <v>0.73</v>
      </c>
      <c r="S8" s="40" t="s">
        <v>107</v>
      </c>
      <c r="T8" s="88">
        <f>'Bemessungstabelle isoliert'!D12</f>
        <v>0.73</v>
      </c>
      <c r="AE8" s="86" t="s">
        <v>107</v>
      </c>
      <c r="AF8" s="88">
        <f>'Bemessungstabelle unisoliert'!D12</f>
        <v>0.85</v>
      </c>
      <c r="AG8" s="86"/>
    </row>
    <row r="9" spans="2:36" ht="20.149999999999999" customHeight="1" x14ac:dyDescent="0.25">
      <c r="B9" s="40" t="s">
        <v>94</v>
      </c>
      <c r="C9" s="40" t="str">
        <f>'Bemessungstabelle isoliert'!D13</f>
        <v>l/200</v>
      </c>
      <c r="S9" s="40" t="s">
        <v>94</v>
      </c>
      <c r="T9" s="40" t="str">
        <f>'Bemessungstabelle isoliert'!D27</f>
        <v>l/300</v>
      </c>
      <c r="AE9" s="87" t="s">
        <v>94</v>
      </c>
      <c r="AF9" s="42" t="str">
        <f>'Bemessungstabelle unisoliert'!D41</f>
        <v>l/250</v>
      </c>
      <c r="AG9" s="86"/>
    </row>
    <row r="10" spans="2:36" ht="20.149999999999999" customHeight="1" thickBot="1" x14ac:dyDescent="0.3">
      <c r="B10" s="40"/>
      <c r="C10" s="40"/>
      <c r="S10" s="43"/>
      <c r="AE10" s="43"/>
    </row>
    <row r="11" spans="2:36" s="47" customFormat="1" ht="20.149999999999999" customHeight="1" thickBot="1" x14ac:dyDescent="0.3">
      <c r="B11" s="59" t="s">
        <v>71</v>
      </c>
      <c r="C11" s="60" t="s">
        <v>22</v>
      </c>
      <c r="D11" s="45" t="s">
        <v>84</v>
      </c>
      <c r="E11" s="45" t="s">
        <v>85</v>
      </c>
      <c r="F11" s="45" t="s">
        <v>11</v>
      </c>
      <c r="G11" s="44" t="s">
        <v>23</v>
      </c>
      <c r="H11" s="45" t="s">
        <v>12</v>
      </c>
      <c r="I11" s="44" t="s">
        <v>20</v>
      </c>
      <c r="J11" s="45" t="s">
        <v>13</v>
      </c>
      <c r="K11" s="44" t="s">
        <v>24</v>
      </c>
      <c r="L11" s="45" t="s">
        <v>14</v>
      </c>
      <c r="M11" s="45" t="s">
        <v>15</v>
      </c>
      <c r="N11" s="44" t="s">
        <v>19</v>
      </c>
      <c r="O11" s="45" t="s">
        <v>16</v>
      </c>
      <c r="P11" s="44" t="s">
        <v>83</v>
      </c>
      <c r="Q11" s="46" t="s">
        <v>86</v>
      </c>
      <c r="S11" s="59" t="s">
        <v>35</v>
      </c>
      <c r="T11" s="85" t="s">
        <v>33</v>
      </c>
      <c r="U11" s="45" t="s">
        <v>30</v>
      </c>
      <c r="V11" s="45" t="s">
        <v>31</v>
      </c>
      <c r="W11" s="44" t="s">
        <v>34</v>
      </c>
      <c r="X11" s="45" t="s">
        <v>32</v>
      </c>
      <c r="Y11" s="44" t="s">
        <v>120</v>
      </c>
      <c r="Z11" s="45" t="s">
        <v>121</v>
      </c>
      <c r="AA11" s="45" t="s">
        <v>122</v>
      </c>
      <c r="AB11" s="44" t="s">
        <v>91</v>
      </c>
      <c r="AC11" s="46" t="s">
        <v>92</v>
      </c>
      <c r="AE11" s="59" t="s">
        <v>35</v>
      </c>
      <c r="AF11" s="81" t="s">
        <v>113</v>
      </c>
      <c r="AG11" s="78" t="s">
        <v>114</v>
      </c>
      <c r="AH11" s="79" t="s">
        <v>115</v>
      </c>
      <c r="AI11" s="80" t="s">
        <v>116</v>
      </c>
      <c r="AJ11" s="80" t="s">
        <v>117</v>
      </c>
    </row>
    <row r="12" spans="2:36" s="47" customFormat="1" ht="20.149999999999999" customHeight="1" x14ac:dyDescent="0.25">
      <c r="B12" s="48">
        <v>0.5</v>
      </c>
      <c r="C12" s="49">
        <f>'Bemessungstabelle isoliert'!$N2*'Bemessungstabelle isoliert'!$H$2*'Bemessungstabelle isoliert'!$H$3*'Bemessungstabelle isoliert'!$H$4*'Bemessungstabelle isoliert'!$H$5*'Bemessungstabelle isoliert'!$H$6</f>
        <v>5.8527199999999997</v>
      </c>
      <c r="D12" s="49">
        <f>'Bemessungstabelle isoliert'!$N3*'Bemessungstabelle isoliert'!$H$2*'Bemessungstabelle isoliert'!$H$3*'Bemessungstabelle isoliert'!$H$4*'Bemessungstabelle isoliert'!$H$5*'Bemessungstabelle isoliert'!$H$6</f>
        <v>6.9034599999999999</v>
      </c>
      <c r="E12" s="49">
        <f>'Bemessungstabelle isoliert'!$N4*'Bemessungstabelle isoliert'!$H$2*'Bemessungstabelle isoliert'!$H$3*'Bemessungstabelle isoliert'!$H$4*'Bemessungstabelle isoliert'!$H$5*'Bemessungstabelle isoliert'!$H$6</f>
        <v>7.3748199999999997</v>
      </c>
      <c r="F12" s="49">
        <f>'Bemessungstabelle isoliert'!$N5*'Bemessungstabelle isoliert'!$H$2*'Bemessungstabelle isoliert'!$H$3*'Bemessungstabelle isoliert'!$H$4*'Bemessungstabelle isoliert'!$H$5*'Bemessungstabelle isoliert'!$H$6</f>
        <v>7.6792400000000001</v>
      </c>
      <c r="G12" s="49">
        <f>'Bemessungstabelle isoliert'!$N6*'Bemessungstabelle isoliert'!$H$2*'Bemessungstabelle isoliert'!$H$3*'Bemessungstabelle isoliert'!$H$4*'Bemessungstabelle isoliert'!$H$5*'Bemessungstabelle isoliert'!$H$6</f>
        <v>2.4942799999999998</v>
      </c>
      <c r="H12" s="49">
        <f>'Bemessungstabelle isoliert'!$N7*'Bemessungstabelle isoliert'!$H$2*'Bemessungstabelle isoliert'!$H$3*'Bemessungstabelle isoliert'!$H$4*'Bemessungstabelle isoliert'!$H$5*'Bemessungstabelle isoliert'!$H$6</f>
        <v>2.5531999999999999</v>
      </c>
      <c r="I12" s="49">
        <f>'Bemessungstabelle isoliert'!$N8*'Bemessungstabelle isoliert'!$H$2*'Bemessungstabelle isoliert'!$H$3*'Bemessungstabelle isoliert'!$H$4*'Bemessungstabelle isoliert'!$H$5*'Bemessungstabelle isoliert'!$H$6</f>
        <v>3.62358</v>
      </c>
      <c r="J12" s="49">
        <f>'Bemessungstabelle isoliert'!$N9*'Bemessungstabelle isoliert'!$H$2*'Bemessungstabelle isoliert'!$H$3*'Bemessungstabelle isoliert'!$H$4*'Bemessungstabelle isoliert'!$H$5*'Bemessungstabelle isoliert'!$H$6</f>
        <v>4.1931399999999996</v>
      </c>
      <c r="K12" s="49">
        <f>'Bemessungstabelle isoliert'!$N10*'Bemessungstabelle isoliert'!$H$2*'Bemessungstabelle isoliert'!$H$3*'Bemessungstabelle isoliert'!$H$4*'Bemessungstabelle isoliert'!$H$5*'Bemessungstabelle isoliert'!$H$6</f>
        <v>4.6055800000000007</v>
      </c>
      <c r="L12" s="49">
        <f>'Bemessungstabelle isoliert'!$N11*'Bemessungstabelle isoliert'!$H$2*'Bemessungstabelle isoliert'!$H$3*'Bemessungstabelle isoliert'!$H$4*'Bemessungstabelle isoliert'!$H$5*'Bemessungstabelle isoliert'!$H$6</f>
        <v>5.3322599999999998</v>
      </c>
      <c r="M12" s="49">
        <f>'Bemessungstabelle isoliert'!$N12*'Bemessungstabelle isoliert'!$H$2*'Bemessungstabelle isoliert'!$H$3*'Bemessungstabelle isoliert'!$H$4*'Bemessungstabelle isoliert'!$H$5*'Bemessungstabelle isoliert'!$H$6</f>
        <v>5.6366800000000001</v>
      </c>
      <c r="N12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O12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P12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Q12" s="50" t="e">
        <f>'Bemessungstabelle isoliert'!#REF!*'Bemessungstabelle isoliert'!$H$2*'Bemessungstabelle isoliert'!$H$3*'Bemessungstabelle isoliert'!$H$4*'Bemessungstabelle isoliert'!$H$5*'Bemessungstabelle isoliert'!$H$6</f>
        <v>#REF!</v>
      </c>
      <c r="S12" s="48">
        <v>2</v>
      </c>
      <c r="T12" s="77" t="e">
        <f>'Bemessungstabelle isoliert'!$R42*'Bemessungstabelle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2" s="51" t="e">
        <f>'Bemessungstabelle isoliert'!$R43*'Bemessungstabelle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2" s="51" t="e">
        <f>'Bemessungstabelle isoliert'!$R44*'Bemessungstabelle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2" s="51" t="e">
        <f>'Bemessungstabelle isoliert'!$R45*'Bemessungstabelle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2" s="51" t="e">
        <f>'Bemessungstabelle isoliert'!$R46*'Bemessungstabelle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2" s="51" t="e">
        <f>'Bemessungstabelle isoliert'!$R47*'Bemessungstabelle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2" s="51" t="e">
        <f>'Bemessungstabelle isoliert'!$R48*'Bemessungstabelle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2" s="51" t="e">
        <f>'Bemessungstabelle isoliert'!$R49*'Bemessungstabelle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2" s="51" t="e">
        <f>'Bemessungstabelle isoliert'!$R50*'Bemessungstabelle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2" s="65" t="e">
        <f>'Bemessungstabelle isoliert'!$R51*'Bemessungstabelle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E12" s="48">
        <v>3</v>
      </c>
      <c r="AF12" s="82">
        <f>'Bemessungstabelle unisoliert'!$P75*'Bemessungstabelle unisoliert'!$H$66*'Bemessungstabelle unisoliert'!$H$67*'Bemessungstabelle unisoliert'!$H$68*'Bemessungstabelle unisoliert'!$H$69*'Bemessungstabelle unisoliert'!$H$70*'Bemessungstabelle unisoliert'!$H$71</f>
        <v>2.6849844000000003</v>
      </c>
      <c r="AG12" s="83" t="e">
        <f>'Bemessungstabelle unisoliert'!#REF!*'Bemessungstabelle unisoliert'!$H$66*'Bemessungstabelle unisoliert'!$H$67*'Bemessungstabelle unisoliert'!$H$68*'Bemessungstabelle unisoliert'!$H$69*'Bemessungstabelle unisoliert'!$H$70*'Bemessungstabelle unisoliert'!$H$71</f>
        <v>#REF!</v>
      </c>
      <c r="AH12" s="83">
        <f>'Bemessungstabelle unisoliert'!$P74*'Bemessungstabelle unisoliert'!$H$66*'Bemessungstabelle unisoliert'!$H$67*'Bemessungstabelle unisoliert'!$H$68*'Bemessungstabelle unisoliert'!$H$69*'Bemessungstabelle unisoliert'!$H$70*'Bemessungstabelle unisoliert'!$H$71</f>
        <v>6.4384829999999997</v>
      </c>
      <c r="AI12" s="84" t="e">
        <f>'Bemessungstabelle unisoliert'!#REF!*'Bemessungstabelle unisoliert'!$H$66*'Bemessungstabelle unisoliert'!$H$67*'Bemessungstabelle unisoliert'!$H$68*'Bemessungstabelle unisoliert'!$H$69*'Bemessungstabelle unisoliert'!$H$70*'Bemessungstabelle unisoliert'!$H$71</f>
        <v>#REF!</v>
      </c>
      <c r="AJ12" s="84">
        <f>'Bemessungstabelle unisoliert'!$P76*'Bemessungstabelle unisoliert'!$H$66*'Bemessungstabelle unisoliert'!$H$67*'Bemessungstabelle unisoliert'!$H$68*'Bemessungstabelle unisoliert'!$H$69*'Bemessungstabelle unisoliert'!$H$70*'Bemessungstabelle unisoliert'!$H$71</f>
        <v>3.9270180000000003</v>
      </c>
    </row>
    <row r="13" spans="2:36" s="47" customFormat="1" ht="20.149999999999999" customHeight="1" x14ac:dyDescent="0.25">
      <c r="B13" s="52">
        <v>0.6</v>
      </c>
      <c r="C13" s="49">
        <f>'Bemessungstabelle isoliert'!$P2*'Bemessungstabelle isoliert'!$H$2*'Bemessungstabelle isoliert'!$H$3*'Bemessungstabelle isoliert'!$H$4*'Bemessungstabelle isoliert'!$H$5*'Bemessungstabelle isoliert'!$H$6</f>
        <v>5.5286599999999995</v>
      </c>
      <c r="D13" s="49">
        <f>'Bemessungstabelle isoliert'!$P3*'Bemessungstabelle isoliert'!$H$2*'Bemessungstabelle isoliert'!$H$3*'Bemessungstabelle isoliert'!$H$4*'Bemessungstabelle isoliert'!$H$5*'Bemessungstabelle isoliert'!$H$6</f>
        <v>6.5499399999999994</v>
      </c>
      <c r="E13" s="49">
        <f>'Bemessungstabelle isoliert'!$P4*'Bemessungstabelle isoliert'!$H$2*'Bemessungstabelle isoliert'!$H$3*'Bemessungstabelle isoliert'!$H$4*'Bemessungstabelle isoliert'!$H$5*'Bemessungstabelle isoliert'!$H$6</f>
        <v>7.0213000000000001</v>
      </c>
      <c r="F13" s="49">
        <f>'Bemessungstabelle isoliert'!$P5*'Bemessungstabelle isoliert'!$H$2*'Bemessungstabelle isoliert'!$H$3*'Bemessungstabelle isoliert'!$H$4*'Bemessungstabelle isoliert'!$H$5*'Bemessungstabelle isoliert'!$H$6</f>
        <v>7.2962599999999993</v>
      </c>
      <c r="G13" s="49">
        <f>'Bemessungstabelle isoliert'!$P6*'Bemessungstabelle isoliert'!$H$2*'Bemessungstabelle isoliert'!$H$3*'Bemessungstabelle isoliert'!$H$4*'Bemessungstabelle isoliert'!$H$5*'Bemessungstabelle isoliert'!$H$6</f>
        <v>2.32734</v>
      </c>
      <c r="H13" s="49">
        <f>'Bemessungstabelle isoliert'!$P7*'Bemessungstabelle isoliert'!$H$2*'Bemessungstabelle isoliert'!$H$3*'Bemessungstabelle isoliert'!$H$4*'Bemessungstabelle isoliert'!$H$5*'Bemessungstabelle isoliert'!$H$6</f>
        <v>2.4058999999999999</v>
      </c>
      <c r="I13" s="49">
        <f>'Bemessungstabelle isoliert'!$P8*'Bemessungstabelle isoliert'!$H$2*'Bemessungstabelle isoliert'!$H$3*'Bemessungstabelle isoliert'!$H$4*'Bemessungstabelle isoliert'!$H$5*'Bemessungstabelle isoliert'!$H$6</f>
        <v>3.40754</v>
      </c>
      <c r="J13" s="49">
        <f>'Bemessungstabelle isoliert'!$P9*'Bemessungstabelle isoliert'!$H$2*'Bemessungstabelle isoliert'!$H$3*'Bemessungstabelle isoliert'!$H$4*'Bemessungstabelle isoliert'!$H$5*'Bemessungstabelle isoliert'!$H$6</f>
        <v>3.9672800000000001</v>
      </c>
      <c r="K13" s="49">
        <f>'Bemessungstabelle isoliert'!$P10*'Bemessungstabelle isoliert'!$H$2*'Bemessungstabelle isoliert'!$H$3*'Bemessungstabelle isoliert'!$H$4*'Bemessungstabelle isoliert'!$H$5*'Bemessungstabelle isoliert'!$H$6</f>
        <v>4.3404400000000001</v>
      </c>
      <c r="L13" s="49">
        <f>'Bemessungstabelle isoliert'!$P11*'Bemessungstabelle isoliert'!$H$2*'Bemessungstabelle isoliert'!$H$3*'Bemessungstabelle isoliert'!$H$4*'Bemessungstabelle isoliert'!$H$5*'Bemessungstabelle isoliert'!$H$6</f>
        <v>5.0573000000000006</v>
      </c>
      <c r="M13" s="49">
        <f>'Bemessungstabelle isoliert'!$P12*'Bemessungstabelle isoliert'!$H$2*'Bemessungstabelle isoliert'!$H$3*'Bemessungstabelle isoliert'!$H$4*'Bemessungstabelle isoliert'!$H$5*'Bemessungstabelle isoliert'!$H$6</f>
        <v>5.3518999999999997</v>
      </c>
      <c r="N13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O13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P13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Q13" s="50" t="e">
        <f>'Bemessungstabelle isoliert'!#REF!*'Bemessungstabelle isoliert'!$H$2*'Bemessungstabelle isoliert'!$H$3*'Bemessungstabelle isoliert'!$H$4*'Bemessungstabelle isoliert'!$H$5*'Bemessungstabelle isoliert'!$H$6</f>
        <v>#REF!</v>
      </c>
      <c r="S13" s="52">
        <v>2.5</v>
      </c>
      <c r="T13" s="75" t="e">
        <f>'Bemessungstabelle isoliert'!$T42*'Bemessungstabelle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3" s="54" t="e">
        <f>'Bemessungstabelle isoliert'!$T43*'Bemessungstabelle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3" s="54" t="e">
        <f>'Bemessungstabelle isoliert'!$T44*'Bemessungstabelle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3" s="54" t="e">
        <f>'Bemessungstabelle isoliert'!$T45*'Bemessungstabelle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3" s="54" t="e">
        <f>'Bemessungstabelle isoliert'!$T46*'Bemessungstabelle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3" s="54" t="e">
        <f>'Bemessungstabelle isoliert'!$T47*'Bemessungstabelle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3" s="54" t="e">
        <f>'Bemessungstabelle isoliert'!$T48*'Bemessungstabelle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3" s="54" t="e">
        <f>'Bemessungstabelle isoliert'!$T49*'Bemessungstabelle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3" s="54" t="e">
        <f>'Bemessungstabelle isoliert'!$T50*'Bemessungstabelle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3" s="66" t="e">
        <f>'Bemessungstabelle isoliert'!$T51*'Bemessungstabelle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E13" s="52">
        <v>3.5</v>
      </c>
      <c r="AF13" s="77">
        <f>('Bemessungstabelle unisoliert'!$P75+'Bemessungstabelle unisoliert'!R75)/2*'Bemessungstabelle unisoliert'!$H$66*'Bemessungstabelle unisoliert'!$H$67*'Bemessungstabelle unisoliert'!$H$68*'Bemessungstabelle unisoliert'!$H$69*'Bemessungstabelle unisoliert'!$H$70*'Bemessungstabelle unisoliert'!$H$71</f>
        <v>2.5662606000000001</v>
      </c>
      <c r="AG13" s="51" t="e">
        <f>('Bemessungstabelle unisoliert'!#REF!+'Bemessungstabelle unisoliert'!#REF!)/2*'Bemessungstabelle unisoliert'!$H$66*'Bemessungstabelle unisoliert'!$H$67*'Bemessungstabelle unisoliert'!$H$68*'Bemessungstabelle unisoliert'!$H$69*'Bemessungstabelle unisoliert'!$H$70*'Bemessungstabelle unisoliert'!$H$71</f>
        <v>#REF!</v>
      </c>
      <c r="AH13" s="51">
        <f>('Bemessungstabelle unisoliert'!$P74+'Bemessungstabelle unisoliert'!R74)/2*'Bemessungstabelle unisoliert'!$H$66*'Bemessungstabelle unisoliert'!$H$67*'Bemessungstabelle unisoliert'!$H$68*'Bemessungstabelle unisoliert'!$H$69*'Bemessungstabelle unisoliert'!$H$70*'Bemessungstabelle unisoliert'!$H$71</f>
        <v>6.1645050000000001</v>
      </c>
      <c r="AI13" s="65" t="e">
        <f>('Bemessungstabelle unisoliert'!#REF!+'Bemessungstabelle unisoliert'!#REF!)/2*'Bemessungstabelle unisoliert'!$H$66*'Bemessungstabelle unisoliert'!$H$67*'Bemessungstabelle unisoliert'!$H$68*'Bemessungstabelle unisoliert'!$H$69*'Bemessungstabelle unisoliert'!$H$70*'Bemessungstabelle unisoliert'!$H$71</f>
        <v>#REF!</v>
      </c>
      <c r="AJ13" s="65">
        <f>('Bemessungstabelle unisoliert'!$P76+'Bemessungstabelle unisoliert'!R76)/2*'Bemessungstabelle unisoliert'!$H$66*'Bemessungstabelle unisoliert'!$H$67*'Bemessungstabelle unisoliert'!$H$68*'Bemessungstabelle unisoliert'!$H$69*'Bemessungstabelle unisoliert'!$H$70*'Bemessungstabelle unisoliert'!$H$71</f>
        <v>3.7534985999999999</v>
      </c>
    </row>
    <row r="14" spans="2:36" s="47" customFormat="1" ht="20.149999999999999" customHeight="1" x14ac:dyDescent="0.25">
      <c r="B14" s="52">
        <v>0.7</v>
      </c>
      <c r="C14" s="49">
        <f>'Bemessungstabelle isoliert'!$R2*'Bemessungstabelle isoliert'!$H$2*'Bemessungstabelle isoliert'!$H$3*'Bemessungstabelle isoliert'!$H$4*'Bemessungstabelle isoliert'!$H$5*'Bemessungstabelle isoliert'!$H$6</f>
        <v>5.2536999999999994</v>
      </c>
      <c r="D14" s="49">
        <f>'Bemessungstabelle isoliert'!$R3*'Bemessungstabelle isoliert'!$H$2*'Bemessungstabelle isoliert'!$H$3*'Bemessungstabelle isoliert'!$H$4*'Bemessungstabelle isoliert'!$H$5*'Bemessungstabelle isoliert'!$H$6</f>
        <v>6.2651599999999998</v>
      </c>
      <c r="E14" s="49">
        <f>'Bemessungstabelle isoliert'!$R4*'Bemessungstabelle isoliert'!$H$2*'Bemessungstabelle isoliert'!$H$3*'Bemessungstabelle isoliert'!$H$4*'Bemessungstabelle isoliert'!$H$5*'Bemessungstabelle isoliert'!$H$6</f>
        <v>6.7168799999999997</v>
      </c>
      <c r="F14" s="49">
        <f>'Bemessungstabelle isoliert'!$R5*'Bemessungstabelle isoliert'!$H$2*'Bemessungstabelle isoliert'!$H$3*'Bemessungstabelle isoliert'!$H$4*'Bemessungstabelle isoliert'!$H$5*'Bemessungstabelle isoliert'!$H$6</f>
        <v>6.9820200000000003</v>
      </c>
      <c r="G14" s="49">
        <f>'Bemessungstabelle isoliert'!$R6*'Bemessungstabelle isoliert'!$H$2*'Bemessungstabelle isoliert'!$H$3*'Bemessungstabelle isoliert'!$H$4*'Bemessungstabelle isoliert'!$H$5*'Bemessungstabelle isoliert'!$H$6</f>
        <v>2.1898599999999999</v>
      </c>
      <c r="H14" s="49">
        <f>'Bemessungstabelle isoliert'!$R7*'Bemessungstabelle isoliert'!$H$2*'Bemessungstabelle isoliert'!$H$3*'Bemessungstabelle isoliert'!$H$4*'Bemessungstabelle isoliert'!$H$5*'Bemessungstabelle isoliert'!$H$6</f>
        <v>2.2880600000000002</v>
      </c>
      <c r="I14" s="49">
        <f>'Bemessungstabelle isoliert'!$R8*'Bemessungstabelle isoliert'!$H$2*'Bemessungstabelle isoliert'!$H$3*'Bemessungstabelle isoliert'!$H$4*'Bemessungstabelle isoliert'!$H$5*'Bemessungstabelle isoliert'!$H$6</f>
        <v>3.2307799999999998</v>
      </c>
      <c r="J14" s="49">
        <f>'Bemessungstabelle isoliert'!$R9*'Bemessungstabelle isoliert'!$H$2*'Bemessungstabelle isoliert'!$H$3*'Bemessungstabelle isoliert'!$H$4*'Bemessungstabelle isoliert'!$H$5*'Bemessungstabelle isoliert'!$H$6</f>
        <v>3.7806999999999999</v>
      </c>
      <c r="K14" s="49">
        <f>'Bemessungstabelle isoliert'!$R10*'Bemessungstabelle isoliert'!$H$2*'Bemessungstabelle isoliert'!$H$3*'Bemessungstabelle isoliert'!$H$4*'Bemessungstabelle isoliert'!$H$5*'Bemessungstabelle isoliert'!$H$6</f>
        <v>4.1244000000000005</v>
      </c>
      <c r="L14" s="49">
        <f>'Bemessungstabelle isoliert'!$R11*'Bemessungstabelle isoliert'!$H$2*'Bemessungstabelle isoliert'!$H$3*'Bemessungstabelle isoliert'!$H$4*'Bemessungstabelle isoliert'!$H$5*'Bemessungstabelle isoliert'!$H$6</f>
        <v>4.8314399999999997</v>
      </c>
      <c r="M14" s="49">
        <f>'Bemessungstabelle isoliert'!$R12*'Bemessungstabelle isoliert'!$H$2*'Bemessungstabelle isoliert'!$H$3*'Bemessungstabelle isoliert'!$H$4*'Bemessungstabelle isoliert'!$H$5*'Bemessungstabelle isoliert'!$H$6</f>
        <v>5.1260399999999997</v>
      </c>
      <c r="N14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O14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P14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Q14" s="50" t="e">
        <f>'Bemessungstabelle isoliert'!#REF!*'Bemessungstabelle isoliert'!$H$2*'Bemessungstabelle isoliert'!$H$3*'Bemessungstabelle isoliert'!$H$4*'Bemessungstabelle isoliert'!$H$5*'Bemessungstabelle isoliert'!$H$6</f>
        <v>#REF!</v>
      </c>
      <c r="S14" s="52">
        <v>3</v>
      </c>
      <c r="T14" s="75" t="e">
        <f>'Bemessungstabelle isoliert'!$V42*'Bemessungstabelle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4" s="54" t="e">
        <f>'Bemessungstabelle isoliert'!$V43*'Bemessungstabelle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4" s="54" t="e">
        <f>'Bemessungstabelle isoliert'!$V44*'Bemessungstabelle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4" s="54" t="e">
        <f>'Bemessungstabelle isoliert'!$V45*'Bemessungstabelle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4" s="54" t="e">
        <f>'Bemessungstabelle isoliert'!$V46*'Bemessungstabelle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4" s="54" t="e">
        <f>'Bemessungstabelle isoliert'!$V47*'Bemessungstabelle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4" s="54" t="e">
        <f>'Bemessungstabelle isoliert'!$V48*'Bemessungstabelle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4" s="54" t="e">
        <f>'Bemessungstabelle isoliert'!$V49*'Bemessungstabelle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4" s="54" t="e">
        <f>'Bemessungstabelle isoliert'!$V50*'Bemessungstabelle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4" s="66" t="e">
        <f>'Bemessungstabelle isoliert'!$V51*'Bemessungstabelle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E14" s="52">
        <v>4</v>
      </c>
      <c r="AF14" s="75">
        <f>'Bemessungstabelle unisoliert'!$R75*'Bemessungstabelle unisoliert'!$H$66*'Bemessungstabelle unisoliert'!$H$67*'Bemessungstabelle unisoliert'!$H$68*'Bemessungstabelle unisoliert'!$H$69*'Bemessungstabelle unisoliert'!$H$70*'Bemessungstabelle unisoliert'!$H$71</f>
        <v>2.4475368000000004</v>
      </c>
      <c r="AG14" s="54" t="e">
        <f>'Bemessungstabelle unisoliert'!#REF!*'Bemessungstabelle unisoliert'!$H$66*'Bemessungstabelle unisoliert'!$H$67*'Bemessungstabelle unisoliert'!$H$68*'Bemessungstabelle unisoliert'!$H$69*'Bemessungstabelle unisoliert'!$H$70*'Bemessungstabelle unisoliert'!$H$71</f>
        <v>#REF!</v>
      </c>
      <c r="AH14" s="54">
        <f>'Bemessungstabelle unisoliert'!$R74*'Bemessungstabelle unisoliert'!$H$66*'Bemessungstabelle unisoliert'!$H$67*'Bemessungstabelle unisoliert'!$H$68*'Bemessungstabelle unisoliert'!$H$69*'Bemessungstabelle unisoliert'!$H$70*'Bemessungstabelle unisoliert'!$H$71</f>
        <v>5.8905270000000005</v>
      </c>
      <c r="AI14" s="66" t="e">
        <f>'Bemessungstabelle unisoliert'!#REF!*'Bemessungstabelle unisoliert'!$H$66*'Bemessungstabelle unisoliert'!$H$67*'Bemessungstabelle unisoliert'!$H$68*'Bemessungstabelle unisoliert'!$H$69*'Bemessungstabelle unisoliert'!$H$70*'Bemessungstabelle unisoliert'!$H$71</f>
        <v>#REF!</v>
      </c>
      <c r="AJ14" s="66">
        <f>'Bemessungstabelle unisoliert'!$R76*'Bemessungstabelle unisoliert'!$H$66*'Bemessungstabelle unisoliert'!$H$67*'Bemessungstabelle unisoliert'!$H$68*'Bemessungstabelle unisoliert'!$H$69*'Bemessungstabelle unisoliert'!$H$70*'Bemessungstabelle unisoliert'!$H$71</f>
        <v>3.5799792000000004</v>
      </c>
    </row>
    <row r="15" spans="2:36" s="47" customFormat="1" ht="20.149999999999999" customHeight="1" x14ac:dyDescent="0.25">
      <c r="B15" s="92">
        <v>0.8</v>
      </c>
      <c r="C15" s="93">
        <f>'Bemessungstabelle isoliert'!$T2*'Bemessungstabelle isoliert'!$H$2*'Bemessungstabelle isoliert'!$H$3*'Bemessungstabelle isoliert'!$H$4*'Bemessungstabelle isoliert'!$H$5*'Bemessungstabelle isoliert'!$H$6</f>
        <v>5.0278400000000003</v>
      </c>
      <c r="D15" s="93">
        <f>'Bemessungstabelle isoliert'!$T3*'Bemessungstabelle isoliert'!$H$2*'Bemessungstabelle isoliert'!$H$3*'Bemessungstabelle isoliert'!$H$4*'Bemessungstabelle isoliert'!$H$5*'Bemessungstabelle isoliert'!$H$6</f>
        <v>6.01966</v>
      </c>
      <c r="E15" s="93">
        <f>'Bemessungstabelle isoliert'!$T4*'Bemessungstabelle isoliert'!$H$2*'Bemessungstabelle isoliert'!$H$3*'Bemessungstabelle isoliert'!$H$4*'Bemessungstabelle isoliert'!$H$5*'Bemessungstabelle isoliert'!$H$6</f>
        <v>6.4713799999999999</v>
      </c>
      <c r="F15" s="93">
        <f>'Bemessungstabelle isoliert'!$T5*'Bemessungstabelle isoliert'!$H$2*'Bemessungstabelle isoliert'!$H$3*'Bemessungstabelle isoliert'!$H$4*'Bemessungstabelle isoliert'!$H$5*'Bemessungstabelle isoliert'!$H$6</f>
        <v>6.7168799999999997</v>
      </c>
      <c r="G15" s="93">
        <f>'Bemessungstabelle isoliert'!$T6*'Bemessungstabelle isoliert'!$H$2*'Bemessungstabelle isoliert'!$H$3*'Bemessungstabelle isoliert'!$H$4*'Bemessungstabelle isoliert'!$H$5*'Bemessungstabelle isoliert'!$H$6</f>
        <v>2.0916600000000001</v>
      </c>
      <c r="H15" s="93">
        <f>'Bemessungstabelle isoliert'!$T7*'Bemessungstabelle isoliert'!$H$2*'Bemessungstabelle isoliert'!$H$3*'Bemessungstabelle isoliert'!$H$4*'Bemessungstabelle isoliert'!$H$5*'Bemessungstabelle isoliert'!$H$6</f>
        <v>2.1898599999999999</v>
      </c>
      <c r="I15" s="93">
        <f>'Bemessungstabelle isoliert'!$T8*'Bemessungstabelle isoliert'!$H$2*'Bemessungstabelle isoliert'!$H$3*'Bemessungstabelle isoliert'!$H$4*'Bemessungstabelle isoliert'!$H$5*'Bemessungstabelle isoliert'!$H$6</f>
        <v>3.0834800000000002</v>
      </c>
      <c r="J15" s="93">
        <f>'Bemessungstabelle isoliert'!$T9*'Bemessungstabelle isoliert'!$H$2*'Bemessungstabelle isoliert'!$H$3*'Bemessungstabelle isoliert'!$H$4*'Bemessungstabelle isoliert'!$H$5*'Bemessungstabelle isoliert'!$H$6</f>
        <v>3.6334</v>
      </c>
      <c r="K15" s="93">
        <f>'Bemessungstabelle isoliert'!$T10*'Bemessungstabelle isoliert'!$H$2*'Bemessungstabelle isoliert'!$H$3*'Bemessungstabelle isoliert'!$H$4*'Bemessungstabelle isoliert'!$H$5*'Bemessungstabelle isoliert'!$H$6</f>
        <v>3.9378199999999999</v>
      </c>
      <c r="L15" s="93">
        <f>'Bemessungstabelle isoliert'!$T11*'Bemessungstabelle isoliert'!$H$2*'Bemessungstabelle isoliert'!$H$3*'Bemessungstabelle isoliert'!$H$4*'Bemessungstabelle isoliert'!$H$5*'Bemessungstabelle isoliert'!$H$6</f>
        <v>4.63504</v>
      </c>
      <c r="M15" s="93">
        <f>'Bemessungstabelle isoliert'!$T12*'Bemessungstabelle isoliert'!$H$2*'Bemessungstabelle isoliert'!$H$3*'Bemessungstabelle isoliert'!$H$4*'Bemessungstabelle isoliert'!$H$5*'Bemessungstabelle isoliert'!$H$6</f>
        <v>4.9296399999999991</v>
      </c>
      <c r="N15" s="93" t="e">
        <f>'Bemessungstabelle isoliert'!#REF!*'Bemessungstabelle isoliert'!$H$2*'Bemessungstabelle isoliert'!$H$3*'Bemessungstabelle isoliert'!$H$4*'Bemessungstabelle isoliert'!$H$5*'Bemessungstabelle isoliert'!$H$6</f>
        <v>#REF!</v>
      </c>
      <c r="O15" s="93" t="e">
        <f>'Bemessungstabelle isoliert'!#REF!*'Bemessungstabelle isoliert'!$H$2*'Bemessungstabelle isoliert'!$H$3*'Bemessungstabelle isoliert'!$H$4*'Bemessungstabelle isoliert'!$H$5*'Bemessungstabelle isoliert'!$H$6</f>
        <v>#REF!</v>
      </c>
      <c r="P15" s="93" t="e">
        <f>'Bemessungstabelle isoliert'!#REF!*'Bemessungstabelle isoliert'!$H$2*'Bemessungstabelle isoliert'!$H$3*'Bemessungstabelle isoliert'!$H$4*'Bemessungstabelle isoliert'!$H$5*'Bemessungstabelle isoliert'!$H$6</f>
        <v>#REF!</v>
      </c>
      <c r="Q15" s="94" t="e">
        <f>'Bemessungstabelle isoliert'!#REF!*'Bemessungstabelle isoliert'!$H$2*'Bemessungstabelle isoliert'!$H$3*'Bemessungstabelle isoliert'!$H$4*'Bemessungstabelle isoliert'!$H$5*'Bemessungstabelle isoliert'!$H$6</f>
        <v>#REF!</v>
      </c>
      <c r="S15" s="52">
        <v>3.5</v>
      </c>
      <c r="T15" s="75" t="e">
        <f>'Bemessungstabelle isoliert'!$X42*'Bemessungstabelle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5" s="54" t="e">
        <f>'Bemessungstabelle isoliert'!$X43*'Bemessungstabelle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5" s="54" t="e">
        <f>'Bemessungstabelle isoliert'!$X44*'Bemessungstabelle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5" s="54" t="e">
        <f>'Bemessungstabelle isoliert'!$X45*'Bemessungstabelle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5" s="54" t="e">
        <f>'Bemessungstabelle isoliert'!$X46*'Bemessungstabelle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5" s="54" t="e">
        <f>'Bemessungstabelle isoliert'!$X47*'Bemessungstabelle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5" s="54" t="e">
        <f>'Bemessungstabelle isoliert'!$X48*'Bemessungstabelle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5" s="54" t="e">
        <f>'Bemessungstabelle isoliert'!$X49*'Bemessungstabelle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5" s="54" t="e">
        <f>'Bemessungstabelle isoliert'!$X50*'Bemessungstabelle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5" s="66" t="e">
        <f>'Bemessungstabelle isoliert'!$X51*'Bemessungstabelle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E15" s="52">
        <v>4.5</v>
      </c>
      <c r="AF15" s="75">
        <f>('Bemessungstabelle unisoliert'!$R75+'Bemessungstabelle unisoliert'!T75)/2*'Bemessungstabelle unisoliert'!$H$66*'Bemessungstabelle unisoliert'!$H$67*'Bemessungstabelle unisoliert'!$H$68*'Bemessungstabelle unisoliert'!$H$69*'Bemessungstabelle unisoliert'!$H$70*'Bemessungstabelle unisoliert'!$H$71</f>
        <v>2.3607771</v>
      </c>
      <c r="AG15" s="54" t="e">
        <f>('Bemessungstabelle unisoliert'!#REF!+'Bemessungstabelle unisoliert'!#REF!)/2*'Bemessungstabelle unisoliert'!$H$66*'Bemessungstabelle unisoliert'!$H$67*'Bemessungstabelle unisoliert'!$H$68*'Bemessungstabelle unisoliert'!$H$69*'Bemessungstabelle unisoliert'!$H$70*'Bemessungstabelle unisoliert'!$H$71</f>
        <v>#REF!</v>
      </c>
      <c r="AH15" s="54">
        <f>('Bemessungstabelle unisoliert'!$R74+'Bemessungstabelle unisoliert'!T74)/2*'Bemessungstabelle unisoliert'!$H$66*'Bemessungstabelle unisoliert'!$H$67*'Bemessungstabelle unisoliert'!$H$68*'Bemessungstabelle unisoliert'!$H$69*'Bemessungstabelle unisoliert'!$H$70*'Bemessungstabelle unisoliert'!$H$71</f>
        <v>5.6896098000000004</v>
      </c>
      <c r="AI15" s="66" t="e">
        <f>('Bemessungstabelle unisoliert'!#REF!+'Bemessungstabelle unisoliert'!#REF!)/2*'Bemessungstabelle unisoliert'!$H$66*'Bemessungstabelle unisoliert'!$H$67*'Bemessungstabelle unisoliert'!$H$68*'Bemessungstabelle unisoliert'!$H$69*'Bemessungstabelle unisoliert'!$H$70*'Bemessungstabelle unisoliert'!$H$71</f>
        <v>#REF!</v>
      </c>
      <c r="AJ15" s="66">
        <f>('Bemessungstabelle unisoliert'!$R76+'Bemessungstabelle unisoliert'!T76)/2*'Bemessungstabelle unisoliert'!$H$66*'Bemessungstabelle unisoliert'!$H$67*'Bemessungstabelle unisoliert'!$H$68*'Bemessungstabelle unisoliert'!$H$69*'Bemessungstabelle unisoliert'!$H$70*'Bemessungstabelle unisoliert'!$H$71</f>
        <v>3.4521228000000006</v>
      </c>
    </row>
    <row r="16" spans="2:36" s="47" customFormat="1" ht="20.149999999999999" customHeight="1" x14ac:dyDescent="0.25">
      <c r="B16" s="52">
        <v>0.9</v>
      </c>
      <c r="C16" s="49">
        <f>'Bemessungstabelle isoliert'!$V2*'Bemessungstabelle isoliert'!$H$2*'Bemessungstabelle isoliert'!$H$3*'Bemessungstabelle isoliert'!$H$4*'Bemessungstabelle isoliert'!$H$5*'Bemessungstabelle isoliert'!$H$6</f>
        <v>4.8412599999999992</v>
      </c>
      <c r="D16" s="49">
        <f>'Bemessungstabelle isoliert'!$V3*'Bemessungstabelle isoliert'!$H$2*'Bemessungstabelle isoliert'!$H$3*'Bemessungstabelle isoliert'!$H$4*'Bemessungstabelle isoliert'!$H$5*'Bemessungstabelle isoliert'!$H$6</f>
        <v>5.8036200000000004</v>
      </c>
      <c r="E16" s="49">
        <f>'Bemessungstabelle isoliert'!$V4*'Bemessungstabelle isoliert'!$H$2*'Bemessungstabelle isoliert'!$H$3*'Bemessungstabelle isoliert'!$H$4*'Bemessungstabelle isoliert'!$H$5*'Bemessungstabelle isoliert'!$H$6</f>
        <v>6.24552</v>
      </c>
      <c r="F16" s="49">
        <f>'Bemessungstabelle isoliert'!$V5*'Bemessungstabelle isoliert'!$H$2*'Bemessungstabelle isoliert'!$H$3*'Bemessungstabelle isoliert'!$H$4*'Bemessungstabelle isoliert'!$H$5*'Bemessungstabelle isoliert'!$H$6</f>
        <v>6.4910199999999998</v>
      </c>
      <c r="G16" s="49">
        <f>'Bemessungstabelle isoliert'!$V6*'Bemessungstabelle isoliert'!$H$2*'Bemessungstabelle isoliert'!$H$3*'Bemessungstabelle isoliert'!$H$4*'Bemessungstabelle isoliert'!$H$5*'Bemessungstabelle isoliert'!$H$6</f>
        <v>2.0032800000000002</v>
      </c>
      <c r="H16" s="49">
        <f>'Bemessungstabelle isoliert'!$V7*'Bemessungstabelle isoliert'!$H$2*'Bemessungstabelle isoliert'!$H$3*'Bemessungstabelle isoliert'!$H$4*'Bemessungstabelle isoliert'!$H$5*'Bemessungstabelle isoliert'!$H$6</f>
        <v>2.1113</v>
      </c>
      <c r="I16" s="49">
        <f>'Bemessungstabelle isoliert'!$V8*'Bemessungstabelle isoliert'!$H$2*'Bemessungstabelle isoliert'!$H$3*'Bemessungstabelle isoliert'!$H$4*'Bemessungstabelle isoliert'!$H$5*'Bemessungstabelle isoliert'!$H$6</f>
        <v>2.9558199999999997</v>
      </c>
      <c r="J16" s="49">
        <f>'Bemessungstabelle isoliert'!$V9*'Bemessungstabelle isoliert'!$H$2*'Bemessungstabelle isoliert'!$H$3*'Bemessungstabelle isoliert'!$H$4*'Bemessungstabelle isoliert'!$H$5*'Bemessungstabelle isoliert'!$H$6</f>
        <v>3.4959199999999999</v>
      </c>
      <c r="K16" s="49">
        <f>'Bemessungstabelle isoliert'!$V10*'Bemessungstabelle isoliert'!$H$2*'Bemessungstabelle isoliert'!$H$3*'Bemessungstabelle isoliert'!$H$4*'Bemessungstabelle isoliert'!$H$5*'Bemessungstabelle isoliert'!$H$6</f>
        <v>3.7806999999999999</v>
      </c>
      <c r="L16" s="49">
        <f>'Bemessungstabelle isoliert'!$V11*'Bemessungstabelle isoliert'!$H$2*'Bemessungstabelle isoliert'!$H$3*'Bemessungstabelle isoliert'!$H$4*'Bemessungstabelle isoliert'!$H$5*'Bemessungstabelle isoliert'!$H$6</f>
        <v>4.4680999999999997</v>
      </c>
      <c r="M16" s="49">
        <f>'Bemessungstabelle isoliert'!$V12*'Bemessungstabelle isoliert'!$H$2*'Bemessungstabelle isoliert'!$H$3*'Bemessungstabelle isoliert'!$H$4*'Bemessungstabelle isoliert'!$H$5*'Bemessungstabelle isoliert'!$H$6</f>
        <v>4.7528800000000002</v>
      </c>
      <c r="N16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O16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P16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Q16" s="50" t="e">
        <f>'Bemessungstabelle isoliert'!#REF!*'Bemessungstabelle isoliert'!$H$2*'Bemessungstabelle isoliert'!$H$3*'Bemessungstabelle isoliert'!$H$4*'Bemessungstabelle isoliert'!$H$5*'Bemessungstabelle isoliert'!$H$6</f>
        <v>#REF!</v>
      </c>
      <c r="S16" s="52">
        <v>4</v>
      </c>
      <c r="T16" s="75" t="e">
        <f>'Bemessungstabelle isoliert'!$Z42*'Bemessungstabelle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6" s="54" t="e">
        <f>'Bemessungstabelle isoliert'!$Z43*'Bemessungstabelle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6" s="54" t="e">
        <f>'Bemessungstabelle isoliert'!$Z44*'Bemessungstabelle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6" s="54" t="e">
        <f>'Bemessungstabelle isoliert'!$Z45*'Bemessungstabelle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6" s="54" t="e">
        <f>'Bemessungstabelle isoliert'!$Z46*'Bemessungstabelle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6" s="54" t="e">
        <f>'Bemessungstabelle isoliert'!$Z47*'Bemessungstabelle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6" s="54" t="e">
        <f>'Bemessungstabelle isoliert'!$Z48*'Bemessungstabelle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6" s="54" t="e">
        <f>'Bemessungstabelle isoliert'!$Z49*'Bemessungstabelle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6" s="54" t="e">
        <f>'Bemessungstabelle isoliert'!$Z50*'Bemessungstabelle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6" s="66" t="e">
        <f>'Bemessungstabelle isoliert'!$Z51*'Bemessungstabelle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E16" s="52">
        <v>5</v>
      </c>
      <c r="AF16" s="75">
        <f>'Bemessungstabelle unisoliert'!$T75*'Bemessungstabelle unisoliert'!$H$66*'Bemessungstabelle unisoliert'!$H$67*'Bemessungstabelle unisoliert'!$H$68*'Bemessungstabelle unisoliert'!$H$69*'Bemessungstabelle unisoliert'!$H$70*'Bemessungstabelle unisoliert'!$H$71</f>
        <v>2.2740174000000004</v>
      </c>
      <c r="AG16" s="54" t="e">
        <f>'Bemessungstabelle unisoliert'!#REF!*'Bemessungstabelle unisoliert'!$H$66*'Bemessungstabelle unisoliert'!$H$67*'Bemessungstabelle unisoliert'!$H$68*'Bemessungstabelle unisoliert'!$H$69*'Bemessungstabelle unisoliert'!$H$70*'Bemessungstabelle unisoliert'!$H$71</f>
        <v>#REF!</v>
      </c>
      <c r="AH16" s="54">
        <f>'Bemessungstabelle unisoliert'!$T74*'Bemessungstabelle unisoliert'!$H$66*'Bemessungstabelle unisoliert'!$H$67*'Bemessungstabelle unisoliert'!$H$68*'Bemessungstabelle unisoliert'!$H$69*'Bemessungstabelle unisoliert'!$H$70*'Bemessungstabelle unisoliert'!$H$71</f>
        <v>5.4886926000000003</v>
      </c>
      <c r="AI16" s="66" t="e">
        <f>'Bemessungstabelle unisoliert'!#REF!*'Bemessungstabelle unisoliert'!$H$66*'Bemessungstabelle unisoliert'!$H$67*'Bemessungstabelle unisoliert'!$H$68*'Bemessungstabelle unisoliert'!$H$69*'Bemessungstabelle unisoliert'!$H$70*'Bemessungstabelle unisoliert'!$H$71</f>
        <v>#REF!</v>
      </c>
      <c r="AJ16" s="66">
        <f>'Bemessungstabelle unisoliert'!$T76*'Bemessungstabelle unisoliert'!$H$66*'Bemessungstabelle unisoliert'!$H$67*'Bemessungstabelle unisoliert'!$H$68*'Bemessungstabelle unisoliert'!$H$69*'Bemessungstabelle unisoliert'!$H$70*'Bemessungstabelle unisoliert'!$H$71</f>
        <v>3.3242664</v>
      </c>
    </row>
    <row r="17" spans="2:36" s="47" customFormat="1" ht="20.149999999999999" customHeight="1" thickBot="1" x14ac:dyDescent="0.3">
      <c r="B17" s="52">
        <v>1</v>
      </c>
      <c r="C17" s="49">
        <f>'Bemessungstabelle isoliert'!$X2*'Bemessungstabelle isoliert'!$H$2*'Bemessungstabelle isoliert'!$H$3*'Bemessungstabelle isoliert'!$H$4*'Bemessungstabelle isoliert'!$H$5*'Bemessungstabelle isoliert'!$H$6</f>
        <v>4.6743199999999998</v>
      </c>
      <c r="D17" s="49">
        <f>'Bemessungstabelle isoliert'!$X3*'Bemessungstabelle isoliert'!$H$2*'Bemessungstabelle isoliert'!$H$3*'Bemessungstabelle isoliert'!$H$4*'Bemessungstabelle isoliert'!$H$5*'Bemessungstabelle isoliert'!$H$6</f>
        <v>5.6170399999999994</v>
      </c>
      <c r="E17" s="49">
        <f>'Bemessungstabelle isoliert'!$X4*'Bemessungstabelle isoliert'!$H$2*'Bemessungstabelle isoliert'!$H$3*'Bemessungstabelle isoliert'!$H$4*'Bemessungstabelle isoliert'!$H$5*'Bemessungstabelle isoliert'!$H$6</f>
        <v>6.0589399999999998</v>
      </c>
      <c r="F17" s="49">
        <f>'Bemessungstabelle isoliert'!$X5*'Bemessungstabelle isoliert'!$H$2*'Bemessungstabelle isoliert'!$H$3*'Bemessungstabelle isoliert'!$H$4*'Bemessungstabelle isoliert'!$H$5*'Bemessungstabelle isoliert'!$H$6</f>
        <v>6.2848000000000006</v>
      </c>
      <c r="G17" s="49">
        <f>'Bemessungstabelle isoliert'!$X6*'Bemessungstabelle isoliert'!$H$2*'Bemessungstabelle isoliert'!$H$3*'Bemessungstabelle isoliert'!$H$4*'Bemessungstabelle isoliert'!$H$5*'Bemessungstabelle isoliert'!$H$6</f>
        <v>1.92472</v>
      </c>
      <c r="H17" s="49">
        <f>'Bemessungstabelle isoliert'!$X7*'Bemessungstabelle isoliert'!$H$2*'Bemessungstabelle isoliert'!$H$3*'Bemessungstabelle isoliert'!$H$4*'Bemessungstabelle isoliert'!$H$5*'Bemessungstabelle isoliert'!$H$6</f>
        <v>2.0425599999999999</v>
      </c>
      <c r="I17" s="49">
        <f>'Bemessungstabelle isoliert'!$X8*'Bemessungstabelle isoliert'!$H$2*'Bemessungstabelle isoliert'!$H$3*'Bemessungstabelle isoliert'!$H$4*'Bemessungstabelle isoliert'!$H$5*'Bemessungstabelle isoliert'!$H$6</f>
        <v>2.8477999999999999</v>
      </c>
      <c r="J17" s="49">
        <f>'Bemessungstabelle isoliert'!$X9*'Bemessungstabelle isoliert'!$H$2*'Bemessungstabelle isoliert'!$H$3*'Bemessungstabelle isoliert'!$H$4*'Bemessungstabelle isoliert'!$H$5*'Bemessungstabelle isoliert'!$H$6</f>
        <v>3.3780799999999997</v>
      </c>
      <c r="K17" s="49">
        <f>'Bemessungstabelle isoliert'!$X10*'Bemessungstabelle isoliert'!$H$2*'Bemessungstabelle isoliert'!$H$3*'Bemessungstabelle isoliert'!$H$4*'Bemessungstabelle isoliert'!$H$5*'Bemessungstabelle isoliert'!$H$6</f>
        <v>3.6530400000000003</v>
      </c>
      <c r="L17" s="49">
        <f>'Bemessungstabelle isoliert'!$X11*'Bemessungstabelle isoliert'!$H$2*'Bemessungstabelle isoliert'!$H$3*'Bemessungstabelle isoliert'!$H$4*'Bemessungstabelle isoliert'!$H$5*'Bemessungstabelle isoliert'!$H$6</f>
        <v>4.3306199999999997</v>
      </c>
      <c r="M17" s="49">
        <f>'Bemessungstabelle isoliert'!$X12*'Bemessungstabelle isoliert'!$H$2*'Bemessungstabelle isoliert'!$H$3*'Bemessungstabelle isoliert'!$H$4*'Bemessungstabelle isoliert'!$H$5*'Bemessungstabelle isoliert'!$H$6</f>
        <v>4.6055800000000007</v>
      </c>
      <c r="N17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O17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P17" s="49" t="e">
        <f>'Bemessungstabelle isoliert'!#REF!*'Bemessungstabelle isoliert'!$H$2*'Bemessungstabelle isoliert'!$H$3*'Bemessungstabelle isoliert'!$H$4*'Bemessungstabelle isoliert'!$H$5*'Bemessungstabelle isoliert'!$H$6</f>
        <v>#REF!</v>
      </c>
      <c r="Q17" s="50" t="e">
        <f>'Bemessungstabelle isoliert'!#REF!*'Bemessungstabelle isoliert'!$H$2*'Bemessungstabelle isoliert'!$H$3*'Bemessungstabelle isoliert'!$H$4*'Bemessungstabelle isoliert'!$H$5*'Bemessungstabelle isoliert'!$H$6</f>
        <v>#REF!</v>
      </c>
      <c r="S17" s="52">
        <v>4.5</v>
      </c>
      <c r="T17" s="75" t="e">
        <f>'Bemessungstabelle isoliert'!$AB42*'Bemessungstabelle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7" s="54" t="e">
        <f>'Bemessungstabelle isoliert'!$AB43*'Bemessungstabelle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7" s="54" t="e">
        <f>'Bemessungstabelle isoliert'!$AB44*'Bemessungstabelle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7" s="54" t="e">
        <f>'Bemessungstabelle isoliert'!$AB45*'Bemessungstabelle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7" s="54" t="e">
        <f>'Bemessungstabelle isoliert'!$AB46*'Bemessungstabelle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7" s="54" t="e">
        <f>'Bemessungstabelle isoliert'!$AB47*'Bemessungstabelle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7" s="54" t="e">
        <f>'Bemessungstabelle isoliert'!$AB48*'Bemessungstabelle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7" s="54" t="e">
        <f>'Bemessungstabelle isoliert'!$AB49*'Bemessungstabelle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7" s="54" t="e">
        <f>'Bemessungstabelle isoliert'!$AB50*'Bemessungstabelle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7" s="66" t="e">
        <f>'Bemessungstabelle isoliert'!$AB51*'Bemessungstabelle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E17" s="55">
        <v>5.5</v>
      </c>
      <c r="AF17" s="76">
        <f>('Bemessungstabelle unisoliert'!$T75+'Bemessungstabelle unisoliert'!V75)/2*'Bemessungstabelle unisoliert'!$H$66*'Bemessungstabelle unisoliert'!$H$67*'Bemessungstabelle unisoliert'!$H$68*'Bemessungstabelle unisoliert'!$H$69*'Bemessungstabelle unisoliert'!$H$70*'Bemessungstabelle unisoliert'!$H$71</f>
        <v>2.2055229000000001</v>
      </c>
      <c r="AG17" s="68" t="e">
        <f>('Bemessungstabelle unisoliert'!#REF!+'Bemessungstabelle unisoliert'!#REF!)/2*'Bemessungstabelle unisoliert'!$H$66*'Bemessungstabelle unisoliert'!$H$67*'Bemessungstabelle unisoliert'!$H$68*'Bemessungstabelle unisoliert'!$H$69*'Bemessungstabelle unisoliert'!$H$70*'Bemessungstabelle unisoliert'!$H$71</f>
        <v>#REF!</v>
      </c>
      <c r="AH17" s="68">
        <f>('Bemessungstabelle unisoliert'!$T74+'Bemessungstabelle unisoliert'!V74)/2*'Bemessungstabelle unisoliert'!$H$66*'Bemessungstabelle unisoliert'!$H$67*'Bemessungstabelle unisoliert'!$H$68*'Bemessungstabelle unisoliert'!$H$69*'Bemessungstabelle unisoliert'!$H$70*'Bemessungstabelle unisoliert'!$H$71</f>
        <v>5.3334383999999995</v>
      </c>
      <c r="AI17" s="69" t="e">
        <f>('Bemessungstabelle unisoliert'!#REF!+'Bemessungstabelle unisoliert'!#REF!)/2*'Bemessungstabelle unisoliert'!$H$66*'Bemessungstabelle unisoliert'!$H$67*'Bemessungstabelle unisoliert'!$H$68*'Bemessungstabelle unisoliert'!$H$69*'Bemessungstabelle unisoliert'!$H$70*'Bemessungstabelle unisoliert'!$H$71</f>
        <v>#REF!</v>
      </c>
      <c r="AJ17" s="69">
        <f>('Bemessungstabelle unisoliert'!$T76+'Bemessungstabelle unisoliert'!V76)/2*'Bemessungstabelle unisoliert'!$H$66*'Bemessungstabelle unisoliert'!$H$67*'Bemessungstabelle unisoliert'!$H$68*'Bemessungstabelle unisoliert'!$H$69*'Bemessungstabelle unisoliert'!$H$70*'Bemessungstabelle unisoliert'!$H$71</f>
        <v>3.2283741000000004</v>
      </c>
    </row>
    <row r="18" spans="2:36" s="47" customFormat="1" ht="20.149999999999999" customHeight="1" thickBot="1" x14ac:dyDescent="0.3">
      <c r="B18" s="55">
        <v>1.1000000000000001</v>
      </c>
      <c r="C18" s="56">
        <f>'Bemessungstabelle isoliert'!$Z2*'Bemessungstabelle isoliert'!$H$2*'Bemessungstabelle isoliert'!$H$3*'Bemessungstabelle isoliert'!$H$4*'Bemessungstabelle isoliert'!$H$5*'Bemessungstabelle isoliert'!$H$6</f>
        <v>4.5270200000000003</v>
      </c>
      <c r="D18" s="56">
        <f>'Bemessungstabelle isoliert'!$Z3*'Bemessungstabelle isoliert'!$H$2*'Bemessungstabelle isoliert'!$H$3*'Bemessungstabelle isoliert'!$H$4*'Bemessungstabelle isoliert'!$H$5*'Bemessungstabelle isoliert'!$H$6</f>
        <v>5.4599199999999994</v>
      </c>
      <c r="E18" s="56">
        <f>'Bemessungstabelle isoliert'!$Z4*'Bemessungstabelle isoliert'!$H$2*'Bemessungstabelle isoliert'!$H$3*'Bemessungstabelle isoliert'!$H$4*'Bemessungstabelle isoliert'!$H$5*'Bemessungstabelle isoliert'!$H$6</f>
        <v>5.88218</v>
      </c>
      <c r="F18" s="56">
        <f>'Bemessungstabelle isoliert'!$Z5*'Bemessungstabelle isoliert'!$H$2*'Bemessungstabelle isoliert'!$H$3*'Bemessungstabelle isoliert'!$H$4*'Bemessungstabelle isoliert'!$H$5*'Bemessungstabelle isoliert'!$H$6</f>
        <v>6.1080399999999999</v>
      </c>
      <c r="G18" s="56">
        <f>'Bemessungstabelle isoliert'!$Z6*'Bemessungstabelle isoliert'!$H$2*'Bemessungstabelle isoliert'!$H$3*'Bemessungstabelle isoliert'!$H$4*'Bemessungstabelle isoliert'!$H$5*'Bemessungstabelle isoliert'!$H$6</f>
        <v>1.8461599999999998</v>
      </c>
      <c r="H18" s="56">
        <f>'Bemessungstabelle isoliert'!$Z7*'Bemessungstabelle isoliert'!$H$2*'Bemessungstabelle isoliert'!$H$3*'Bemessungstabelle isoliert'!$H$4*'Bemessungstabelle isoliert'!$H$5*'Bemessungstabelle isoliert'!$H$6</f>
        <v>1.9738199999999997</v>
      </c>
      <c r="I18" s="56">
        <f>'Bemessungstabelle isoliert'!$Z8*'Bemessungstabelle isoliert'!$H$2*'Bemessungstabelle isoliert'!$H$3*'Bemessungstabelle isoliert'!$H$4*'Bemessungstabelle isoliert'!$H$5*'Bemessungstabelle isoliert'!$H$6</f>
        <v>2.7495999999999996</v>
      </c>
      <c r="J18" s="56">
        <f>'Bemessungstabelle isoliert'!$Z9*'Bemessungstabelle isoliert'!$H$2*'Bemessungstabelle isoliert'!$H$3*'Bemessungstabelle isoliert'!$H$4*'Bemessungstabelle isoliert'!$H$5*'Bemessungstabelle isoliert'!$H$6</f>
        <v>3.2798799999999999</v>
      </c>
      <c r="K18" s="56">
        <f>'Bemessungstabelle isoliert'!$Z10*'Bemessungstabelle isoliert'!$H$2*'Bemessungstabelle isoliert'!$H$3*'Bemessungstabelle isoliert'!$H$4*'Bemessungstabelle isoliert'!$H$5*'Bemessungstabelle isoliert'!$H$6</f>
        <v>3.5352000000000001</v>
      </c>
      <c r="L18" s="56">
        <f>'Bemessungstabelle isoliert'!$Z11*'Bemessungstabelle isoliert'!$H$2*'Bemessungstabelle isoliert'!$H$3*'Bemessungstabelle isoliert'!$H$4*'Bemessungstabelle isoliert'!$H$5*'Bemessungstabelle isoliert'!$H$6</f>
        <v>4.20296</v>
      </c>
      <c r="M18" s="56">
        <f>'Bemessungstabelle isoliert'!$Z12*'Bemessungstabelle isoliert'!$H$2*'Bemessungstabelle isoliert'!$H$3*'Bemessungstabelle isoliert'!$H$4*'Bemessungstabelle isoliert'!$H$5*'Bemessungstabelle isoliert'!$H$6</f>
        <v>4.4779199999999992</v>
      </c>
      <c r="N18" s="56" t="e">
        <f>'Bemessungstabelle isoliert'!#REF!*'Bemessungstabelle isoliert'!$H$2*'Bemessungstabelle isoliert'!$H$3*'Bemessungstabelle isoliert'!$H$4*'Bemessungstabelle isoliert'!$H$5*'Bemessungstabelle isoliert'!$H$6</f>
        <v>#REF!</v>
      </c>
      <c r="O18" s="56" t="e">
        <f>'Bemessungstabelle isoliert'!#REF!*'Bemessungstabelle isoliert'!$H$2*'Bemessungstabelle isoliert'!$H$3*'Bemessungstabelle isoliert'!$H$4*'Bemessungstabelle isoliert'!$H$5*'Bemessungstabelle isoliert'!$H$6</f>
        <v>#REF!</v>
      </c>
      <c r="P18" s="56" t="e">
        <f>'Bemessungstabelle isoliert'!#REF!*'Bemessungstabelle isoliert'!$H$2*'Bemessungstabelle isoliert'!$H$3*'Bemessungstabelle isoliert'!$H$4*'Bemessungstabelle isoliert'!$H$5*'Bemessungstabelle isoliert'!$H$6</f>
        <v>#REF!</v>
      </c>
      <c r="Q18" s="57" t="e">
        <f>'Bemessungstabelle isoliert'!#REF!*'Bemessungstabelle isoliert'!$H$2*'Bemessungstabelle isoliert'!$H$3*'Bemessungstabelle isoliert'!$H$4*'Bemessungstabelle isoliert'!$H$5*'Bemessungstabelle isoliert'!$H$6</f>
        <v>#REF!</v>
      </c>
      <c r="S18" s="52">
        <v>5</v>
      </c>
      <c r="T18" s="75" t="e">
        <f>'Bemessungstabelle isoliert'!$AD42*'Bemessungstabelle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8" s="54" t="e">
        <f>'Bemessungstabelle isoliert'!$AD43*'Bemessungstabelle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8" s="54" t="e">
        <f>'Bemessungstabelle isoliert'!$AD44*'Bemessungstabelle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8" s="54" t="e">
        <f>'Bemessungstabelle isoliert'!$AD45*'Bemessungstabelle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8" s="54" t="e">
        <f>'Bemessungstabelle isoliert'!$AD46*'Bemessungstabelle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8" s="54" t="e">
        <f>'Bemessungstabelle isoliert'!$AD47*'Bemessungstabelle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8" s="54" t="e">
        <f>'Bemessungstabelle isoliert'!$AD48*'Bemessungstabelle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8" s="54" t="e">
        <f>'Bemessungstabelle isoliert'!$AD49*'Bemessungstabelle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8" s="54" t="e">
        <f>'Bemessungstabelle isoliert'!$AD50*'Bemessungstabelle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8" s="66" t="e">
        <f>'Bemessungstabelle isoliert'!$AD51*'Bemessungstabelle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</row>
    <row r="19" spans="2:36" ht="20.149999999999999" customHeight="1" thickBot="1" x14ac:dyDescent="0.3">
      <c r="B19" s="43"/>
      <c r="S19" s="55">
        <v>5.5</v>
      </c>
      <c r="T19" s="76" t="e">
        <f>'Bemessungstabelle isoliert'!$AF42*'Bemessungstabelle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U19" s="68" t="e">
        <f>'Bemessungstabelle isoliert'!$AF43*'Bemessungstabelle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V19" s="68" t="e">
        <f>'Bemessungstabelle isoliert'!$AF44*'Bemessungstabelle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W19" s="68" t="e">
        <f>'Bemessungstabelle isoliert'!$AF45*'Bemessungstabelle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X19" s="68" t="e">
        <f>'Bemessungstabelle isoliert'!$AF46*'Bemessungstabelle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Y19" s="68" t="e">
        <f>'Bemessungstabelle isoliert'!$AF47*'Bemessungstabelle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Z19" s="68" t="e">
        <f>'Bemessungstabelle isoliert'!$AF48*'Bemessungstabelle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A19" s="68" t="e">
        <f>'Bemessungstabelle isoliert'!$AF49*'Bemessungstabelle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B19" s="68" t="e">
        <f>'Bemessungstabelle isoliert'!$AF50*'Bemessungstabelle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  <c r="AC19" s="69" t="e">
        <f>'Bemessungstabelle isoliert'!$AF51*'Bemessungstabelle isoliert'!$H$42*'Bemessungstabelle isoliert'!$H$43*'Bemessungstabelle isoliert'!$H$44*'Bemessungstabelle isoliert'!$H$45*'Bemessungstabelle isoliert'!$H$46*'Bemessungstabelle isoliert'!#REF!*'Bemessungstabelle isoliert'!$H$47</f>
        <v>#REF!</v>
      </c>
    </row>
    <row r="20" spans="2:36" ht="20.149999999999999" customHeight="1" x14ac:dyDescent="0.25"/>
    <row r="21" spans="2:36" ht="20.149999999999999" customHeight="1" x14ac:dyDescent="0.35">
      <c r="B21" s="35" t="s">
        <v>75</v>
      </c>
      <c r="M21" s="58"/>
      <c r="S21" s="35" t="s">
        <v>77</v>
      </c>
      <c r="W21" s="58"/>
      <c r="X21" s="58"/>
    </row>
    <row r="22" spans="2:36" ht="20.149999999999999" customHeight="1" x14ac:dyDescent="0.25">
      <c r="M22" s="37"/>
      <c r="W22" s="58"/>
      <c r="X22" s="37"/>
    </row>
    <row r="23" spans="2:36" ht="20.149999999999999" customHeight="1" x14ac:dyDescent="0.3">
      <c r="B23" s="39" t="s">
        <v>96</v>
      </c>
      <c r="M23" s="58"/>
      <c r="S23" s="39" t="s">
        <v>96</v>
      </c>
      <c r="W23" s="58"/>
      <c r="X23" s="38"/>
    </row>
    <row r="24" spans="2:36" ht="20.149999999999999" customHeight="1" x14ac:dyDescent="0.25">
      <c r="B24" s="36" t="s">
        <v>72</v>
      </c>
      <c r="C24" s="41">
        <f>'Bemessungstabelle unisoliert'!D6</f>
        <v>1.1000000000000001</v>
      </c>
      <c r="M24" s="58"/>
      <c r="S24" s="36" t="s">
        <v>72</v>
      </c>
      <c r="T24" s="41" t="e">
        <f>'Bemessungstabelle unisoliert'!#REF!</f>
        <v>#REF!</v>
      </c>
      <c r="W24" s="58"/>
      <c r="X24" s="37"/>
    </row>
    <row r="25" spans="2:36" ht="20.149999999999999" customHeight="1" x14ac:dyDescent="0.25">
      <c r="B25" s="36" t="s">
        <v>95</v>
      </c>
      <c r="C25" s="41" t="str">
        <f>'Bemessungstabelle unisoliert'!D8</f>
        <v>1, Binnenland</v>
      </c>
      <c r="M25" s="58"/>
      <c r="S25" s="40" t="s">
        <v>95</v>
      </c>
      <c r="T25" s="41" t="e">
        <f>'Bemessungstabelle unisoliert'!#REF!</f>
        <v>#REF!</v>
      </c>
      <c r="W25" s="58"/>
      <c r="X25" s="38"/>
    </row>
    <row r="26" spans="2:36" ht="20.149999999999999" customHeight="1" x14ac:dyDescent="0.25">
      <c r="B26" s="36" t="s">
        <v>73</v>
      </c>
      <c r="C26" s="40" t="str">
        <f>'Bemessungstabelle unisoliert'!D5</f>
        <v>10mm VSG</v>
      </c>
      <c r="L26" s="58"/>
      <c r="M26" s="58"/>
      <c r="N26" s="58"/>
      <c r="O26" s="58"/>
      <c r="P26" s="58"/>
      <c r="Q26" s="58"/>
      <c r="S26" s="36" t="s">
        <v>73</v>
      </c>
      <c r="T26" s="40" t="e">
        <f>'Bemessungstabelle unisoliert'!#REF!</f>
        <v>#REF!</v>
      </c>
      <c r="W26" s="58"/>
      <c r="X26" s="38"/>
    </row>
    <row r="27" spans="2:36" ht="20.149999999999999" customHeight="1" x14ac:dyDescent="0.25">
      <c r="B27" s="36" t="s">
        <v>74</v>
      </c>
      <c r="C27" s="42">
        <f>'Bemessungstabelle unisoliert'!D9</f>
        <v>10</v>
      </c>
      <c r="L27" s="58"/>
      <c r="M27" s="37"/>
      <c r="N27" s="58"/>
      <c r="O27" s="58"/>
      <c r="P27" s="58"/>
      <c r="Q27" s="58"/>
      <c r="S27" s="36" t="s">
        <v>74</v>
      </c>
      <c r="T27" s="42" t="e">
        <f>'Bemessungstabelle unisoliert'!#REF!</f>
        <v>#REF!</v>
      </c>
    </row>
    <row r="28" spans="2:36" ht="20.149999999999999" customHeight="1" x14ac:dyDescent="0.25">
      <c r="B28" s="36" t="s">
        <v>107</v>
      </c>
      <c r="C28" s="88">
        <f>'Bemessungstabelle unisoliert'!D12</f>
        <v>0.85</v>
      </c>
      <c r="L28" s="58"/>
      <c r="M28" s="37"/>
      <c r="N28" s="58"/>
      <c r="O28" s="58"/>
      <c r="P28" s="58"/>
      <c r="Q28" s="58"/>
      <c r="S28" s="36" t="s">
        <v>107</v>
      </c>
      <c r="T28" s="88">
        <f>'Bemessungstabelle unisoliert'!D12</f>
        <v>0.85</v>
      </c>
    </row>
    <row r="29" spans="2:36" ht="20.149999999999999" customHeight="1" x14ac:dyDescent="0.25">
      <c r="B29" s="36" t="s">
        <v>94</v>
      </c>
      <c r="C29" s="42" t="str">
        <f>'Bemessungstabelle unisoliert'!D13</f>
        <v>l/200</v>
      </c>
      <c r="L29" s="58"/>
      <c r="M29" s="37"/>
      <c r="N29" s="58"/>
      <c r="O29" s="58"/>
      <c r="P29" s="58"/>
      <c r="Q29" s="58"/>
      <c r="S29" s="40" t="s">
        <v>94</v>
      </c>
      <c r="T29" s="42" t="str">
        <f>'Bemessungstabelle unisoliert'!D27</f>
        <v>l/250</v>
      </c>
    </row>
    <row r="30" spans="2:36" ht="20.149999999999999" customHeight="1" thickBot="1" x14ac:dyDescent="0.3">
      <c r="B30" s="43"/>
      <c r="L30" s="58"/>
      <c r="M30" s="38"/>
      <c r="N30" s="58"/>
      <c r="O30" s="58"/>
      <c r="P30" s="58"/>
      <c r="Q30" s="58"/>
      <c r="S30" s="43"/>
    </row>
    <row r="31" spans="2:36" ht="20.149999999999999" customHeight="1" thickBot="1" x14ac:dyDescent="0.3">
      <c r="B31" s="59" t="s">
        <v>71</v>
      </c>
      <c r="C31" s="60" t="s">
        <v>52</v>
      </c>
      <c r="D31" s="45" t="s">
        <v>51</v>
      </c>
      <c r="E31" s="44" t="s">
        <v>63</v>
      </c>
      <c r="F31" s="45" t="s">
        <v>59</v>
      </c>
      <c r="G31" s="44" t="s">
        <v>62</v>
      </c>
      <c r="H31" s="44" t="s">
        <v>61</v>
      </c>
      <c r="I31" s="61" t="s">
        <v>60</v>
      </c>
      <c r="L31" s="62"/>
      <c r="M31" s="37"/>
      <c r="N31" s="63"/>
      <c r="O31" s="62"/>
      <c r="P31" s="62"/>
      <c r="Q31" s="62"/>
      <c r="S31" s="59" t="s">
        <v>35</v>
      </c>
      <c r="T31" s="60" t="s">
        <v>64</v>
      </c>
      <c r="U31" s="45" t="s">
        <v>65</v>
      </c>
      <c r="V31" s="44" t="s">
        <v>108</v>
      </c>
      <c r="W31" s="45" t="s">
        <v>109</v>
      </c>
      <c r="X31" s="45" t="s">
        <v>110</v>
      </c>
      <c r="Y31" s="46" t="s">
        <v>111</v>
      </c>
      <c r="Z31" s="46" t="s">
        <v>112</v>
      </c>
    </row>
    <row r="32" spans="2:36" ht="20.149999999999999" customHeight="1" x14ac:dyDescent="0.25">
      <c r="B32" s="48">
        <v>0.5</v>
      </c>
      <c r="C32" s="49">
        <f>'Bemessungstabelle unisoliert'!$N2*'Bemessungstabelle unisoliert'!$H$2*'Bemessungstabelle unisoliert'!$H$3*'Bemessungstabelle unisoliert'!$H$4*'Bemessungstabelle unisoliert'!$H$5*'Bemessungstabelle unisoliert'!$H$6</f>
        <v>3.3879000000000001</v>
      </c>
      <c r="D32" s="51">
        <f>'Bemessungstabelle unisoliert'!$N3*'Bemessungstabelle unisoliert'!$H$2*'Bemessungstabelle unisoliert'!$H$3*'Bemessungstabelle unisoliert'!$H$4*'Bemessungstabelle unisoliert'!$H$5*'Bemessungstabelle unisoliert'!$H$6</f>
        <v>4.7528800000000002</v>
      </c>
      <c r="E32" s="51">
        <f>'Bemessungstabelle unisoliert'!$N6*'Bemessungstabelle unisoliert'!$H$2*'Bemessungstabelle unisoliert'!$H$3*'Bemessungstabelle unisoliert'!$H$4*'Bemessungstabelle unisoliert'!$H$5*'Bemessungstabelle unisoliert'!$H$6</f>
        <v>4.5368399999999998</v>
      </c>
      <c r="F32" s="51">
        <f>'Bemessungstabelle unisoliert'!$N7*'Bemessungstabelle unisoliert'!$H$2*'Bemessungstabelle unisoliert'!$H$3*'Bemessungstabelle unisoliert'!$H$4*'Bemessungstabelle unisoliert'!$H$5*'Bemessungstabelle unisoliert'!$H$6</f>
        <v>5.3813599999999999</v>
      </c>
      <c r="G32" s="51">
        <f>'Bemessungstabelle unisoliert'!$N8*'Bemessungstabelle unisoliert'!$H$2*'Bemessungstabelle unisoliert'!$H$3*'Bemessungstabelle unisoliert'!$H$4*'Bemessungstabelle unisoliert'!$H$5*'Bemessungstabelle unisoliert'!$H$6</f>
        <v>5.22424</v>
      </c>
      <c r="H32" s="51">
        <f>'Bemessungstabelle unisoliert'!$N9*'Bemessungstabelle unisoliert'!$H$2*'Bemessungstabelle unisoliert'!$H$3*'Bemessungstabelle unisoliert'!$H$4*'Bemessungstabelle unisoliert'!$H$5*'Bemessungstabelle unisoliert'!$H$6</f>
        <v>5.8527199999999997</v>
      </c>
      <c r="I32" s="65">
        <f>'Bemessungstabelle unisoliert'!$N13*'Bemessungstabelle unisoliert'!$H$2*'Bemessungstabelle unisoliert'!$H$3*'Bemessungstabelle unisoliert'!$H$4*'Bemessungstabelle unisoliert'!$H$5*'Bemessungstabelle unisoliert'!$H$6</f>
        <v>3.5253799999999997</v>
      </c>
      <c r="L32" s="64"/>
      <c r="M32" s="38"/>
      <c r="N32" s="64"/>
      <c r="O32" s="64"/>
      <c r="P32" s="64"/>
      <c r="Q32" s="64"/>
      <c r="S32" s="48">
        <v>2</v>
      </c>
      <c r="T32" s="49" t="e">
        <f>'Bemessungstabelle unisoliert'!$R57*'Bemessungstabelle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2" s="51" t="e">
        <f>'Bemessungstabelle unisoliert'!$R58*'Bemessungstabelle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2" s="51" t="e">
        <f>'Bemessungstabelle unisoliert'!$R60*'Bemessungstabelle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2" s="51" t="e">
        <f>'Bemessungstabelle unisoliert'!$R61*'Bemessungstabelle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2" s="51" t="e">
        <f>'Bemessungstabelle unisoliert'!$R62*'Bemessungstabelle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2" s="65" t="e">
        <f>'Bemessungstabelle unisoliert'!$R63*'Bemessungstabelle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2" s="65" t="e">
        <f>'Bemessungstabelle unisoliert'!$R64*'Bemessungstabelle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3" spans="2:26" ht="20.149999999999999" customHeight="1" x14ac:dyDescent="0.25">
      <c r="B33" s="52">
        <v>0.6</v>
      </c>
      <c r="C33" s="53">
        <f>'Bemessungstabelle unisoliert'!$P2*'Bemessungstabelle unisoliert'!$H$2*'Bemessungstabelle unisoliert'!$H$3*'Bemessungstabelle unisoliert'!$H$4*'Bemessungstabelle unisoliert'!$H$5*'Bemessungstabelle unisoliert'!$H$6</f>
        <v>3.1915</v>
      </c>
      <c r="D33" s="54">
        <f>'Bemessungstabelle unisoliert'!$P3*'Bemessungstabelle unisoliert'!$H$2*'Bemessungstabelle unisoliert'!$H$3*'Bemessungstabelle unisoliert'!$H$4*'Bemessungstabelle unisoliert'!$H$5*'Bemessungstabelle unisoliert'!$H$6</f>
        <v>4.49756</v>
      </c>
      <c r="E33" s="54">
        <f>'Bemessungstabelle unisoliert'!$P6*'Bemessungstabelle unisoliert'!$H$2*'Bemessungstabelle unisoliert'!$H$3*'Bemessungstabelle unisoliert'!$H$4*'Bemessungstabelle unisoliert'!$H$5*'Bemessungstabelle unisoliert'!$H$6</f>
        <v>4.2815200000000004</v>
      </c>
      <c r="F33" s="54">
        <f>'Bemessungstabelle unisoliert'!$P7*'Bemessungstabelle unisoliert'!$H$2*'Bemessungstabelle unisoliert'!$H$3*'Bemessungstabelle unisoliert'!$H$4*'Bemessungstabelle unisoliert'!$H$5*'Bemessungstabelle unisoliert'!$H$6</f>
        <v>5.1063999999999998</v>
      </c>
      <c r="G33" s="54">
        <f>'Bemessungstabelle unisoliert'!$P8*'Bemessungstabelle unisoliert'!$H$2*'Bemessungstabelle unisoliert'!$H$3*'Bemessungstabelle unisoliert'!$H$4*'Bemessungstabelle unisoliert'!$H$5*'Bemessungstabelle unisoliert'!$H$6</f>
        <v>4.9296399999999991</v>
      </c>
      <c r="H33" s="54">
        <f>'Bemessungstabelle unisoliert'!$P9*'Bemessungstabelle unisoliert'!$H$2*'Bemessungstabelle unisoliert'!$H$3*'Bemessungstabelle unisoliert'!$H$4*'Bemessungstabelle unisoliert'!$H$5*'Bemessungstabelle unisoliert'!$H$6</f>
        <v>5.5483000000000002</v>
      </c>
      <c r="I33" s="66">
        <f>'Bemessungstabelle unisoliert'!$P13*'Bemessungstabelle unisoliert'!$H$2*'Bemessungstabelle unisoliert'!$H$3*'Bemessungstabelle unisoliert'!$H$4*'Bemessungstabelle unisoliert'!$H$5*'Bemessungstabelle unisoliert'!$H$6</f>
        <v>3.3191599999999997</v>
      </c>
      <c r="L33" s="64"/>
      <c r="M33" s="37"/>
      <c r="N33" s="64"/>
      <c r="O33" s="64"/>
      <c r="P33" s="64"/>
      <c r="Q33" s="64"/>
      <c r="S33" s="52">
        <v>2.5</v>
      </c>
      <c r="T33" s="53" t="e">
        <f>'Bemessungstabelle unisoliert'!$T57*'Bemessungstabelle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3" s="54" t="e">
        <f>'Bemessungstabelle unisoliert'!$T58*'Bemessungstabelle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3" s="54" t="e">
        <f>'Bemessungstabelle unisoliert'!$T60*'Bemessungstabelle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3" s="54" t="e">
        <f>'Bemessungstabelle unisoliert'!$T61*'Bemessungstabelle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3" s="54" t="e">
        <f>'Bemessungstabelle unisoliert'!$T62*'Bemessungstabelle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3" s="66" t="e">
        <f>'Bemessungstabelle unisoliert'!$T63*'Bemessungstabelle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3" s="66" t="e">
        <f>'Bemessungstabelle unisoliert'!$T64*'Bemessungstabelle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4" spans="2:26" ht="20.149999999999999" customHeight="1" x14ac:dyDescent="0.25">
      <c r="B34" s="52">
        <v>0.7</v>
      </c>
      <c r="C34" s="53">
        <f>'Bemessungstabelle unisoliert'!$R2*'Bemessungstabelle unisoliert'!$H$2*'Bemessungstabelle unisoliert'!$H$3*'Bemessungstabelle unisoliert'!$H$4*'Bemessungstabelle unisoliert'!$H$5*'Bemessungstabelle unisoliert'!$H$6</f>
        <v>3.0442</v>
      </c>
      <c r="D34" s="54">
        <f>'Bemessungstabelle unisoliert'!$R3*'Bemessungstabelle unisoliert'!$H$2*'Bemessungstabelle unisoliert'!$H$3*'Bemessungstabelle unisoliert'!$H$4*'Bemessungstabelle unisoliert'!$H$5*'Bemessungstabelle unisoliert'!$H$6</f>
        <v>4.3011599999999994</v>
      </c>
      <c r="E34" s="54">
        <f>'Bemessungstabelle unisoliert'!$R6*'Bemessungstabelle unisoliert'!$H$2*'Bemessungstabelle unisoliert'!$H$3*'Bemessungstabelle unisoliert'!$H$4*'Bemessungstabelle unisoliert'!$H$5*'Bemessungstabelle unisoliert'!$H$6</f>
        <v>4.0753000000000004</v>
      </c>
      <c r="F34" s="54">
        <f>'Bemessungstabelle unisoliert'!$R7*'Bemessungstabelle unisoliert'!$H$2*'Bemessungstabelle unisoliert'!$H$3*'Bemessungstabelle unisoliert'!$H$4*'Bemessungstabelle unisoliert'!$H$5*'Bemessungstabelle unisoliert'!$H$6</f>
        <v>4.8707199999999995</v>
      </c>
      <c r="G34" s="54">
        <f>'Bemessungstabelle unisoliert'!$R8*'Bemessungstabelle unisoliert'!$H$2*'Bemessungstabelle unisoliert'!$H$3*'Bemessungstabelle unisoliert'!$H$4*'Bemessungstabelle unisoliert'!$H$5*'Bemessungstabelle unisoliert'!$H$6</f>
        <v>4.6939600000000006</v>
      </c>
      <c r="H34" s="54">
        <f>'Bemessungstabelle unisoliert'!$R9*'Bemessungstabelle unisoliert'!$H$2*'Bemessungstabelle unisoliert'!$H$3*'Bemessungstabelle unisoliert'!$H$4*'Bemessungstabelle unisoliert'!$H$5*'Bemessungstabelle unisoliert'!$H$6</f>
        <v>5.3028000000000004</v>
      </c>
      <c r="I34" s="66">
        <f>'Bemessungstabelle unisoliert'!$R13*'Bemessungstabelle unisoliert'!$H$2*'Bemessungstabelle unisoliert'!$H$3*'Bemessungstabelle unisoliert'!$H$4*'Bemessungstabelle unisoliert'!$H$5*'Bemessungstabelle unisoliert'!$H$6</f>
        <v>3.1620400000000002</v>
      </c>
      <c r="L34" s="64"/>
      <c r="M34" s="38"/>
      <c r="N34" s="64"/>
      <c r="O34" s="64"/>
      <c r="P34" s="64"/>
      <c r="Q34" s="64"/>
      <c r="S34" s="52">
        <v>3</v>
      </c>
      <c r="T34" s="53" t="e">
        <f>'Bemessungstabelle unisoliert'!$V57*'Bemessungstabelle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4" s="54" t="e">
        <f>'Bemessungstabelle unisoliert'!$V58*'Bemessungstabelle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4" s="54" t="e">
        <f>'Bemessungstabelle unisoliert'!$V60*'Bemessungstabelle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4" s="54" t="e">
        <f>'Bemessungstabelle unisoliert'!$V61*'Bemessungstabelle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4" s="54" t="e">
        <f>'Bemessungstabelle unisoliert'!$V62*'Bemessungstabelle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4" s="66" t="e">
        <f>'Bemessungstabelle unisoliert'!$V63*'Bemessungstabelle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4" s="66" t="e">
        <f>'Bemessungstabelle unisoliert'!$V64*'Bemessungstabelle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5" spans="2:26" ht="20.149999999999999" customHeight="1" x14ac:dyDescent="0.25">
      <c r="B35" s="95">
        <v>0.8</v>
      </c>
      <c r="C35" s="96">
        <f>'Bemessungstabelle unisoliert'!$T2*'Bemessungstabelle unisoliert'!$H$2*'Bemessungstabelle unisoliert'!$H$3*'Bemessungstabelle unisoliert'!$H$4*'Bemessungstabelle unisoliert'!$H$5*'Bemessungstabelle unisoliert'!$H$6</f>
        <v>2.90672</v>
      </c>
      <c r="D35" s="97">
        <f>'Bemessungstabelle unisoliert'!$T3*'Bemessungstabelle unisoliert'!$H$2*'Bemessungstabelle unisoliert'!$H$3*'Bemessungstabelle unisoliert'!$H$4*'Bemessungstabelle unisoliert'!$H$5*'Bemessungstabelle unisoliert'!$H$6</f>
        <v>4.1244000000000005</v>
      </c>
      <c r="E35" s="97">
        <f>'Bemessungstabelle unisoliert'!$T6*'Bemessungstabelle unisoliert'!$H$2*'Bemessungstabelle unisoliert'!$H$3*'Bemessungstabelle unisoliert'!$H$4*'Bemessungstabelle unisoliert'!$H$5*'Bemessungstabelle unisoliert'!$H$6</f>
        <v>3.8985400000000001</v>
      </c>
      <c r="F35" s="97">
        <f>'Bemessungstabelle unisoliert'!$T7*'Bemessungstabelle unisoliert'!$H$2*'Bemessungstabelle unisoliert'!$H$3*'Bemessungstabelle unisoliert'!$H$4*'Bemessungstabelle unisoliert'!$H$5*'Bemessungstabelle unisoliert'!$H$6</f>
        <v>4.6841399999999993</v>
      </c>
      <c r="G35" s="97">
        <f>'Bemessungstabelle unisoliert'!$T8*'Bemessungstabelle unisoliert'!$H$2*'Bemessungstabelle unisoliert'!$H$3*'Bemessungstabelle unisoliert'!$H$4*'Bemessungstabelle unisoliert'!$H$5*'Bemessungstabelle unisoliert'!$H$6</f>
        <v>4.49756</v>
      </c>
      <c r="H35" s="97">
        <f>'Bemessungstabelle unisoliert'!$T9*'Bemessungstabelle unisoliert'!$H$2*'Bemessungstabelle unisoliert'!$H$3*'Bemessungstabelle unisoliert'!$H$4*'Bemessungstabelle unisoliert'!$H$5*'Bemessungstabelle unisoliert'!$H$6</f>
        <v>5.0867599999999999</v>
      </c>
      <c r="I35" s="98">
        <f>'Bemessungstabelle unisoliert'!$T13*'Bemessungstabelle unisoliert'!$H$2*'Bemessungstabelle unisoliert'!$H$3*'Bemessungstabelle unisoliert'!$H$4*'Bemessungstabelle unisoliert'!$H$5*'Bemessungstabelle unisoliert'!$H$6</f>
        <v>3.0245600000000001</v>
      </c>
      <c r="L35" s="64"/>
      <c r="M35" s="38"/>
      <c r="N35" s="64"/>
      <c r="O35" s="64"/>
      <c r="P35" s="64"/>
      <c r="Q35" s="64"/>
      <c r="S35" s="52">
        <v>3.5</v>
      </c>
      <c r="T35" s="53" t="e">
        <f>'Bemessungstabelle unisoliert'!$X57*'Bemessungstabelle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5" s="54" t="e">
        <f>'Bemessungstabelle unisoliert'!$X58*'Bemessungstabelle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5" s="54" t="e">
        <f>'Bemessungstabelle unisoliert'!$X60*'Bemessungstabelle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5" s="54" t="e">
        <f>'Bemessungstabelle unisoliert'!$X61*'Bemessungstabelle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5" s="54" t="e">
        <f>'Bemessungstabelle unisoliert'!$X62*'Bemessungstabelle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5" s="66" t="e">
        <f>'Bemessungstabelle unisoliert'!$X63*'Bemessungstabelle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5" s="66" t="e">
        <f>'Bemessungstabelle unisoliert'!$X64*'Bemessungstabelle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6" spans="2:26" ht="20.149999999999999" customHeight="1" x14ac:dyDescent="0.25">
      <c r="B36" s="52">
        <v>0.9</v>
      </c>
      <c r="C36" s="53">
        <f>'Bemessungstabelle unisoliert'!$V2*'Bemessungstabelle unisoliert'!$H$2*'Bemessungstabelle unisoliert'!$H$3*'Bemessungstabelle unisoliert'!$H$4*'Bemessungstabelle unisoliert'!$H$5*'Bemessungstabelle unisoliert'!$H$6</f>
        <v>2.7987000000000002</v>
      </c>
      <c r="D36" s="54">
        <f>'Bemessungstabelle unisoliert'!$V3*'Bemessungstabelle unisoliert'!$H$2*'Bemessungstabelle unisoliert'!$H$3*'Bemessungstabelle unisoliert'!$H$4*'Bemessungstabelle unisoliert'!$H$5*'Bemessungstabelle unisoliert'!$H$6</f>
        <v>3.9770999999999996</v>
      </c>
      <c r="E36" s="54">
        <f>'Bemessungstabelle unisoliert'!$V6*'Bemessungstabelle unisoliert'!$H$2*'Bemessungstabelle unisoliert'!$H$3*'Bemessungstabelle unisoliert'!$H$4*'Bemessungstabelle unisoliert'!$H$5*'Bemessungstabelle unisoliert'!$H$6</f>
        <v>3.7512399999999997</v>
      </c>
      <c r="F36" s="54">
        <f>'Bemessungstabelle unisoliert'!$V7*'Bemessungstabelle unisoliert'!$H$2*'Bemessungstabelle unisoliert'!$H$3*'Bemessungstabelle unisoliert'!$H$4*'Bemessungstabelle unisoliert'!$H$5*'Bemessungstabelle unisoliert'!$H$6</f>
        <v>4.5171999999999999</v>
      </c>
      <c r="G36" s="54">
        <f>'Bemessungstabelle unisoliert'!$V8*'Bemessungstabelle unisoliert'!$H$2*'Bemessungstabelle unisoliert'!$H$3*'Bemessungstabelle unisoliert'!$H$4*'Bemessungstabelle unisoliert'!$H$5*'Bemessungstabelle unisoliert'!$H$6</f>
        <v>4.3306199999999997</v>
      </c>
      <c r="H36" s="54">
        <f>'Bemessungstabelle unisoliert'!$V9*'Bemessungstabelle unisoliert'!$H$2*'Bemessungstabelle unisoliert'!$H$3*'Bemessungstabelle unisoliert'!$H$4*'Bemessungstabelle unisoliert'!$H$5*'Bemessungstabelle unisoliert'!$H$6</f>
        <v>4.91</v>
      </c>
      <c r="I36" s="66">
        <f>'Bemessungstabelle unisoliert'!$V13*'Bemessungstabelle unisoliert'!$H$2*'Bemessungstabelle unisoliert'!$H$3*'Bemessungstabelle unisoliert'!$H$4*'Bemessungstabelle unisoliert'!$H$5*'Bemessungstabelle unisoliert'!$H$6</f>
        <v>2.90672</v>
      </c>
      <c r="L36" s="64"/>
      <c r="M36" s="37"/>
      <c r="N36" s="64"/>
      <c r="O36" s="64"/>
      <c r="P36" s="64"/>
      <c r="Q36" s="64"/>
      <c r="S36" s="52">
        <v>4</v>
      </c>
      <c r="T36" s="53" t="e">
        <f>'Bemessungstabelle unisoliert'!$Z57*'Bemessungstabelle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6" s="54" t="e">
        <f>'Bemessungstabelle unisoliert'!$Z58*'Bemessungstabelle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6" s="54" t="e">
        <f>'Bemessungstabelle unisoliert'!$Z60*'Bemessungstabelle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6" s="54" t="e">
        <f>'Bemessungstabelle unisoliert'!$Z61*'Bemessungstabelle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6" s="54" t="e">
        <f>'Bemessungstabelle unisoliert'!$Z62*'Bemessungstabelle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6" s="66" t="e">
        <f>'Bemessungstabelle unisoliert'!$Z63*'Bemessungstabelle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6" s="66" t="e">
        <f>'Bemessungstabelle unisoliert'!$Z64*'Bemessungstabelle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7" spans="2:26" ht="20.149999999999999" customHeight="1" x14ac:dyDescent="0.25">
      <c r="B37" s="52">
        <v>1</v>
      </c>
      <c r="C37" s="53">
        <f>'Bemessungstabelle unisoliert'!$X2*'Bemessungstabelle unisoliert'!$H$2*'Bemessungstabelle unisoliert'!$H$3*'Bemessungstabelle unisoliert'!$H$4*'Bemessungstabelle unisoliert'!$H$5*'Bemessungstabelle unisoliert'!$H$6</f>
        <v>2.7004999999999999</v>
      </c>
      <c r="D37" s="54">
        <f>'Bemessungstabelle unisoliert'!$X3*'Bemessungstabelle unisoliert'!$H$2*'Bemessungstabelle unisoliert'!$H$3*'Bemessungstabelle unisoliert'!$H$4*'Bemessungstabelle unisoliert'!$H$5*'Bemessungstabelle unisoliert'!$H$6</f>
        <v>3.84944</v>
      </c>
      <c r="E37" s="54">
        <f>'Bemessungstabelle unisoliert'!$X6*'Bemessungstabelle unisoliert'!$H$2*'Bemessungstabelle unisoliert'!$H$3*'Bemessungstabelle unisoliert'!$H$4*'Bemessungstabelle unisoliert'!$H$5*'Bemessungstabelle unisoliert'!$H$6</f>
        <v>3.62358</v>
      </c>
      <c r="F37" s="54">
        <f>'Bemessungstabelle unisoliert'!$X7*'Bemessungstabelle unisoliert'!$H$2*'Bemessungstabelle unisoliert'!$H$3*'Bemessungstabelle unisoliert'!$H$4*'Bemessungstabelle unisoliert'!$H$5*'Bemessungstabelle unisoliert'!$H$6</f>
        <v>4.3699000000000003</v>
      </c>
      <c r="G37" s="54">
        <f>'Bemessungstabelle unisoliert'!$X8*'Bemessungstabelle unisoliert'!$H$2*'Bemessungstabelle unisoliert'!$H$3*'Bemessungstabelle unisoliert'!$H$4*'Bemessungstabelle unisoliert'!$H$5*'Bemessungstabelle unisoliert'!$H$6</f>
        <v>4.1833200000000001</v>
      </c>
      <c r="H37" s="54">
        <f>'Bemessungstabelle unisoliert'!$X9*'Bemessungstabelle unisoliert'!$H$2*'Bemessungstabelle unisoliert'!$H$3*'Bemessungstabelle unisoliert'!$H$4*'Bemessungstabelle unisoliert'!$H$5*'Bemessungstabelle unisoliert'!$H$6</f>
        <v>4.7528800000000002</v>
      </c>
      <c r="I37" s="66">
        <f>'Bemessungstabelle unisoliert'!$X13*'Bemessungstabelle unisoliert'!$H$2*'Bemessungstabelle unisoliert'!$H$3*'Bemessungstabelle unisoliert'!$H$4*'Bemessungstabelle unisoliert'!$H$5*'Bemessungstabelle unisoliert'!$H$6</f>
        <v>2.8085199999999997</v>
      </c>
      <c r="L37" s="64"/>
      <c r="M37" s="38"/>
      <c r="N37" s="64"/>
      <c r="O37" s="64"/>
      <c r="P37" s="64"/>
      <c r="Q37" s="64"/>
      <c r="S37" s="52">
        <v>4.5</v>
      </c>
      <c r="T37" s="53" t="e">
        <f>'Bemessungstabelle unisoliert'!$AB57*'Bemessungstabelle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7" s="54" t="e">
        <f>'Bemessungstabelle unisoliert'!$AB58*'Bemessungstabelle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7" s="54" t="e">
        <f>'Bemessungstabelle unisoliert'!$AB60*'Bemessungstabelle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7" s="54" t="e">
        <f>'Bemessungstabelle unisoliert'!$AB61*'Bemessungstabelle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7" s="54" t="e">
        <f>'Bemessungstabelle unisoliert'!$AB62*'Bemessungstabelle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7" s="66" t="e">
        <f>'Bemessungstabelle unisoliert'!$AB63*'Bemessungstabelle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7" s="66" t="e">
        <f>'Bemessungstabelle unisoliert'!$AB64*'Bemessungstabelle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8" spans="2:26" ht="20.149999999999999" customHeight="1" thickBot="1" x14ac:dyDescent="0.3">
      <c r="B38" s="55">
        <v>1.1000000000000001</v>
      </c>
      <c r="C38" s="67">
        <f>'Bemessungstabelle unisoliert'!$Z2*'Bemessungstabelle unisoliert'!$H$2*'Bemessungstabelle unisoliert'!$H$3*'Bemessungstabelle unisoliert'!$H$4*'Bemessungstabelle unisoliert'!$H$5*'Bemessungstabelle unisoliert'!$H$6</f>
        <v>2.6219399999999999</v>
      </c>
      <c r="D38" s="68">
        <f>'Bemessungstabelle unisoliert'!$Z3*'Bemessungstabelle unisoliert'!$H$2*'Bemessungstabelle unisoliert'!$H$3*'Bemessungstabelle unisoliert'!$H$4*'Bemessungstabelle unisoliert'!$H$5*'Bemessungstabelle unisoliert'!$H$6</f>
        <v>3.7414200000000002</v>
      </c>
      <c r="E38" s="68">
        <f>'Bemessungstabelle unisoliert'!$Z6*'Bemessungstabelle unisoliert'!$H$2*'Bemessungstabelle unisoliert'!$H$3*'Bemessungstabelle unisoliert'!$H$4*'Bemessungstabelle unisoliert'!$H$5*'Bemessungstabelle unisoliert'!$H$6</f>
        <v>3.5155599999999998</v>
      </c>
      <c r="F38" s="68">
        <f>'Bemessungstabelle unisoliert'!$Z7*'Bemessungstabelle unisoliert'!$H$2*'Bemessungstabelle unisoliert'!$H$3*'Bemessungstabelle unisoliert'!$H$4*'Bemessungstabelle unisoliert'!$H$5*'Bemessungstabelle unisoliert'!$H$6</f>
        <v>4.2422399999999998</v>
      </c>
      <c r="G38" s="68">
        <f>'Bemessungstabelle unisoliert'!$Z8*'Bemessungstabelle unisoliert'!$H$2*'Bemessungstabelle unisoliert'!$H$3*'Bemessungstabelle unisoliert'!$H$4*'Bemessungstabelle unisoliert'!$H$5*'Bemessungstabelle unisoliert'!$H$6</f>
        <v>4.0556599999999996</v>
      </c>
      <c r="H38" s="68">
        <f>'Bemessungstabelle unisoliert'!$Z9*'Bemessungstabelle unisoliert'!$H$2*'Bemessungstabelle unisoliert'!$H$3*'Bemessungstabelle unisoliert'!$H$4*'Bemessungstabelle unisoliert'!$H$5*'Bemessungstabelle unisoliert'!$H$6</f>
        <v>4.6154000000000002</v>
      </c>
      <c r="I38" s="69">
        <f>'Bemessungstabelle unisoliert'!$Z13*'Bemessungstabelle unisoliert'!$H$2*'Bemessungstabelle unisoliert'!$H$3*'Bemessungstabelle unisoliert'!$H$4*'Bemessungstabelle unisoliert'!$H$5*'Bemessungstabelle unisoliert'!$H$6</f>
        <v>2.7201399999999998</v>
      </c>
      <c r="L38" s="64"/>
      <c r="N38" s="64"/>
      <c r="O38" s="64"/>
      <c r="P38" s="64"/>
      <c r="Q38" s="64"/>
      <c r="S38" s="55">
        <v>5</v>
      </c>
      <c r="T38" s="67" t="e">
        <f>'Bemessungstabelle unisoliert'!$AD57*'Bemessungstabelle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U38" s="68" t="e">
        <f>'Bemessungstabelle unisoliert'!$AD58*'Bemessungstabelle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V38" s="68" t="e">
        <f>'Bemessungstabelle unisoliert'!$AD60*'Bemessungstabelle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W38" s="68" t="e">
        <f>'Bemessungstabelle unisoliert'!$AD61*'Bemessungstabelle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X38" s="68" t="e">
        <f>'Bemessungstabelle unisoliert'!$AD62*'Bemessungstabelle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Y38" s="69" t="e">
        <f>'Bemessungstabelle unisoliert'!$AD63*'Bemessungstabelle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  <c r="Z38" s="69" t="e">
        <f>'Bemessungstabelle unisoliert'!$AD64*'Bemessungstabelle unisoliert'!$H$51*'Bemessungstabelle unisoliert'!$H$52*'Bemessungstabelle unisoliert'!$H$53*'Bemessungstabelle unisoliert'!$H$54*'Bemessungstabelle unisoliert'!#REF!*'Bemessungstabelle unisoliert'!$H$55*'Bemessungstabelle unisoliert'!$H$56</f>
        <v>#REF!</v>
      </c>
    </row>
    <row r="39" spans="2:26" ht="20.149999999999999" customHeight="1" x14ac:dyDescent="0.25">
      <c r="L39" s="58"/>
      <c r="N39" s="58"/>
      <c r="O39" s="58"/>
      <c r="P39" s="58"/>
      <c r="Q39" s="58"/>
      <c r="S39" s="70"/>
      <c r="T39" s="70"/>
      <c r="U39" s="70"/>
      <c r="V39" s="70"/>
      <c r="W39" s="70"/>
      <c r="X39" s="70"/>
      <c r="Y39" s="70"/>
      <c r="Z39" s="70"/>
    </row>
    <row r="40" spans="2:26" x14ac:dyDescent="0.25">
      <c r="L40" s="58"/>
      <c r="M40" s="58"/>
      <c r="N40" s="58"/>
      <c r="O40" s="58"/>
      <c r="P40" s="58"/>
      <c r="Q40" s="58"/>
      <c r="X40" s="58"/>
    </row>
    <row r="41" spans="2:26" x14ac:dyDescent="0.25">
      <c r="X41" s="37"/>
    </row>
    <row r="42" spans="2:26" x14ac:dyDescent="0.25">
      <c r="X42" s="38"/>
    </row>
    <row r="43" spans="2:26" x14ac:dyDescent="0.25">
      <c r="X43" s="37"/>
    </row>
    <row r="44" spans="2:26" x14ac:dyDescent="0.25">
      <c r="X44" s="38"/>
    </row>
    <row r="45" spans="2:26" x14ac:dyDescent="0.25">
      <c r="X45" s="38"/>
    </row>
    <row r="48" spans="2:26" ht="20.149999999999999" customHeight="1" x14ac:dyDescent="0.25"/>
    <row r="49" spans="19:26" ht="20.149999999999999" customHeight="1" x14ac:dyDescent="0.25">
      <c r="X49" s="62"/>
      <c r="Y49" s="62"/>
      <c r="Z49" s="62"/>
    </row>
    <row r="50" spans="19:26" ht="20.149999999999999" customHeight="1" x14ac:dyDescent="0.25">
      <c r="X50" s="64"/>
      <c r="Y50" s="64"/>
      <c r="Z50" s="64"/>
    </row>
    <row r="51" spans="19:26" ht="20.149999999999999" customHeight="1" x14ac:dyDescent="0.25">
      <c r="X51" s="64"/>
      <c r="Y51" s="64"/>
      <c r="Z51" s="64"/>
    </row>
    <row r="52" spans="19:26" ht="20.149999999999999" customHeight="1" x14ac:dyDescent="0.25">
      <c r="X52" s="64"/>
      <c r="Y52" s="64"/>
      <c r="Z52" s="64"/>
    </row>
    <row r="53" spans="19:26" ht="20.149999999999999" customHeight="1" x14ac:dyDescent="0.25">
      <c r="X53" s="64"/>
      <c r="Y53" s="64"/>
      <c r="Z53" s="64"/>
    </row>
    <row r="54" spans="19:26" ht="20.149999999999999" customHeight="1" x14ac:dyDescent="0.25">
      <c r="X54" s="64"/>
      <c r="Y54" s="64"/>
      <c r="Z54" s="64"/>
    </row>
    <row r="55" spans="19:26" ht="20.149999999999999" customHeight="1" x14ac:dyDescent="0.25">
      <c r="X55" s="64"/>
      <c r="Y55" s="64"/>
      <c r="Z55" s="64"/>
    </row>
    <row r="56" spans="19:26" ht="20.149999999999999" customHeight="1" x14ac:dyDescent="0.25">
      <c r="X56" s="64"/>
      <c r="Y56" s="64"/>
      <c r="Z56" s="64"/>
    </row>
    <row r="57" spans="19:26" x14ac:dyDescent="0.25">
      <c r="X57" s="58"/>
    </row>
    <row r="58" spans="19:26" x14ac:dyDescent="0.25">
      <c r="X58" s="58"/>
    </row>
    <row r="59" spans="19:26" x14ac:dyDescent="0.25">
      <c r="S59" s="58"/>
      <c r="T59" s="58"/>
      <c r="U59" s="58"/>
      <c r="V59" s="58"/>
      <c r="W59" s="58"/>
      <c r="X59" s="58"/>
    </row>
    <row r="60" spans="19:26" x14ac:dyDescent="0.25">
      <c r="S60" s="58"/>
      <c r="T60" s="58"/>
      <c r="U60" s="58"/>
      <c r="V60" s="58"/>
      <c r="W60" s="58"/>
      <c r="X60" s="58"/>
    </row>
  </sheetData>
  <sheetProtection sheet="1" objects="1" scenarios="1"/>
  <phoneticPr fontId="10" type="noConversion"/>
  <printOptions verticalCentered="1"/>
  <pageMargins left="0.39370078740157483" right="0.39370078740157483" top="0.98425196850393704" bottom="0.98425196850393704" header="0.51181102362204722" footer="0.51181102362204722"/>
  <pageSetup paperSize="9" scale="63" orientation="landscape" horizontalDpi="4294967293" r:id="rId1"/>
  <headerFooter alignWithMargins="0">
    <oddHeader>&amp;R&amp;G</oddHeader>
    <oddFooter>&amp;R&amp;D
Seite &amp;P/&amp;N</oddFooter>
  </headerFooter>
  <rowBreaks count="2" manualBreakCount="2">
    <brk id="20" max="27" man="1"/>
    <brk id="39" min="1" max="27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14</vt:i4>
      </vt:variant>
    </vt:vector>
  </HeadingPairs>
  <TitlesOfParts>
    <vt:vector size="22" baseType="lpstr">
      <vt:lpstr>Ermittlung Schneelast</vt:lpstr>
      <vt:lpstr>Bemessungstabelle isoliert</vt:lpstr>
      <vt:lpstr>Satteldach isoliert</vt:lpstr>
      <vt:lpstr>Bemessungstabelle unisoliert</vt:lpstr>
      <vt:lpstr>Satteldach unisoliert</vt:lpstr>
      <vt:lpstr>Daten</vt:lpstr>
      <vt:lpstr>Info</vt:lpstr>
      <vt:lpstr>Statiktabellen</vt:lpstr>
      <vt:lpstr>_b1</vt:lpstr>
      <vt:lpstr>'Ermittlung Schneelast'!_b2</vt:lpstr>
      <vt:lpstr>_b2</vt:lpstr>
      <vt:lpstr>_bs</vt:lpstr>
      <vt:lpstr>_h</vt:lpstr>
      <vt:lpstr>_x</vt:lpstr>
      <vt:lpstr>'Bemessungstabelle isoliert'!Druckbereich</vt:lpstr>
      <vt:lpstr>'Bemessungstabelle unisoliert'!Druckbereich</vt:lpstr>
      <vt:lpstr>Daten!Druckbereich</vt:lpstr>
      <vt:lpstr>'Satteldach isoliert'!Druckbereich</vt:lpstr>
      <vt:lpstr>'Satteldach unisoliert'!Druckbereich</vt:lpstr>
      <vt:lpstr>Statiktabellen!Druckbereich</vt:lpstr>
      <vt:lpstr>ls</vt:lpstr>
      <vt:lpstr>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Trauernicht</dc:creator>
  <cp:lastModifiedBy>Schieferdecker-B</cp:lastModifiedBy>
  <cp:lastPrinted>2020-01-25T06:49:50Z</cp:lastPrinted>
  <dcterms:created xsi:type="dcterms:W3CDTF">2007-01-02T12:59:19Z</dcterms:created>
  <dcterms:modified xsi:type="dcterms:W3CDTF">2020-10-09T05:32:55Z</dcterms:modified>
</cp:coreProperties>
</file>